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mdominguez_who_int/Documents/Desktop/correction elimination tool/CORRECTED versions/"/>
    </mc:Choice>
  </mc:AlternateContent>
  <xr:revisionPtr revIDLastSave="12" documentId="13_ncr:1_{668D1509-3EE3-4077-B112-593D68E114EE}" xr6:coauthVersionLast="47" xr6:coauthVersionMax="47" xr10:uidLastSave="{6E890332-FE50-4A58-BFA5-A4AA5EC4477F}"/>
  <bookViews>
    <workbookView xWindow="-110" yWindow="-110" windowWidth="19420" windowHeight="10420" tabRatio="1000" firstSheet="1" activeTab="3" xr2:uid="{CF61CB3A-3BFF-4EEB-8537-E7C073D0A425}"/>
  </bookViews>
  <sheets>
    <sheet name="Information" sheetId="27" r:id="rId1"/>
    <sheet name="─&gt; Data input table" sheetId="1" r:id="rId2"/>
    <sheet name="─&gt; Factor selection" sheetId="31" r:id="rId3"/>
    <sheet name="R.1| Vulnera. index calculation" sheetId="3" r:id="rId4"/>
    <sheet name="R.2| Vulnera. index summary" sheetId="5" r:id="rId5"/>
    <sheet name="R.3| Missing data overview" sheetId="40" r:id="rId6"/>
    <sheet name="R.4| Table PAMIs export " sheetId="39" r:id="rId7"/>
    <sheet name="Names - Do not touch" sheetId="2" state="hidden" r:id="rId8"/>
  </sheets>
  <definedNames>
    <definedName name="_0_uniq_id">'Names - Do not touch'!$C$5</definedName>
    <definedName name="_1_adi_1">'Names - Do not touch'!$C$6</definedName>
    <definedName name="_2_adi_2">'Names - Do not touch'!$C$7</definedName>
    <definedName name="_3_pop">'Names - Do not touch'!$C$8</definedName>
    <definedName name="_xlnm._FilterDatabase" localSheetId="3" hidden="1">'R.1| Vulnera. index calculation'!$A$1:$L$2</definedName>
    <definedName name="_q01">'Names - Do not touch'!$C$9</definedName>
    <definedName name="_q02">'Names - Do not touch'!$C$10</definedName>
    <definedName name="_q03">'Names - Do not touch'!$C$11</definedName>
    <definedName name="_q04">'Names - Do not touch'!$C$12</definedName>
    <definedName name="_q05">'Names - Do not touch'!$C$13</definedName>
    <definedName name="_q06">'Names - Do not touch'!$C$14</definedName>
    <definedName name="_q07">'Names - Do not touch'!$C$15</definedName>
    <definedName name="_q08">'Names - Do not touch'!$C$16</definedName>
    <definedName name="_q09">'Names - Do not touch'!$C$17</definedName>
    <definedName name="_q10">'Names - Do not touch'!$C$18</definedName>
    <definedName name="_q11">'Names - Do not touch'!$C$19</definedName>
    <definedName name="_q12">'Names - Do not touch'!$C$20</definedName>
    <definedName name="_q13">'Names - Do not touch'!$C$21</definedName>
    <definedName name="_q14">'Names - Do not touch'!$C$22</definedName>
    <definedName name="_q15">'Names - Do not touch'!$C$23</definedName>
    <definedName name="_q16">'Names - Do not touch'!$C$24</definedName>
    <definedName name="_q17">'Names - Do not touch'!$C$25</definedName>
    <definedName name="_q18">'Names - Do not touch'!$C$26</definedName>
    <definedName name="ExternalData_1" localSheetId="6" hidden="1">'R.4| Table PAMIs export '!$A$1:$X$2</definedName>
  </definedNames>
  <calcPr calcId="191028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0" l="1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21" i="40"/>
  <c r="B22" i="40"/>
  <c r="B19" i="40"/>
  <c r="B20" i="40"/>
  <c r="K2" i="3" a="1"/>
  <c r="F2" i="3" a="1"/>
  <c r="H2" i="3" a="1"/>
  <c r="R2" i="3" a="1"/>
  <c r="O2" i="3" a="1"/>
  <c r="L2" i="3" a="1"/>
  <c r="U2" i="3" a="1"/>
  <c r="D2" i="3" a="1"/>
  <c r="E2" i="3" a="1"/>
  <c r="I2" i="3" a="1"/>
  <c r="C2" i="3" a="1"/>
  <c r="N2" i="3" a="1"/>
  <c r="T2" i="3" a="1"/>
  <c r="V2" i="3" a="1"/>
  <c r="J2" i="3" a="1"/>
  <c r="B2" i="3" a="1"/>
  <c r="Q2" i="3" a="1"/>
  <c r="M2" i="3" a="1"/>
  <c r="A2" i="3" a="1"/>
  <c r="G2" i="3" a="1"/>
  <c r="P2" i="3" a="1"/>
  <c r="S2" i="3" a="1"/>
  <c r="K2" i="3" l="1"/>
  <c r="G2" i="3"/>
  <c r="I2" i="3"/>
  <c r="B2" i="3"/>
  <c r="F2" i="3"/>
  <c r="T2" i="3"/>
  <c r="C2" i="3"/>
  <c r="D2" i="3"/>
  <c r="J2" i="3"/>
  <c r="N2" i="3"/>
  <c r="U2" i="3"/>
  <c r="L2" i="3"/>
  <c r="R2" i="3"/>
  <c r="S2" i="3"/>
  <c r="Q2" i="3"/>
  <c r="M2" i="3"/>
  <c r="O2" i="3"/>
  <c r="E2" i="3"/>
  <c r="P2" i="3"/>
  <c r="V2" i="3"/>
  <c r="H2" i="3"/>
  <c r="A2" i="3"/>
  <c r="G22" i="40" l="1"/>
  <c r="F22" i="40"/>
  <c r="E22" i="40"/>
  <c r="G21" i="40"/>
  <c r="F21" i="40"/>
  <c r="E21" i="40"/>
  <c r="G20" i="40"/>
  <c r="F20" i="40"/>
  <c r="E20" i="40"/>
  <c r="G19" i="40"/>
  <c r="F19" i="40"/>
  <c r="E19" i="40"/>
  <c r="G18" i="40"/>
  <c r="E18" i="40"/>
  <c r="F18" i="40"/>
  <c r="G17" i="40"/>
  <c r="F17" i="40"/>
  <c r="E17" i="40"/>
  <c r="G16" i="40"/>
  <c r="F16" i="40"/>
  <c r="E16" i="40"/>
  <c r="G15" i="40"/>
  <c r="E15" i="40"/>
  <c r="F15" i="40"/>
  <c r="G14" i="40"/>
  <c r="F14" i="40"/>
  <c r="E14" i="40"/>
  <c r="G13" i="40"/>
  <c r="F13" i="40"/>
  <c r="E13" i="40"/>
  <c r="G12" i="40"/>
  <c r="F12" i="40"/>
  <c r="E12" i="40"/>
  <c r="G11" i="40"/>
  <c r="F11" i="40"/>
  <c r="E11" i="40"/>
  <c r="G10" i="40"/>
  <c r="F10" i="40"/>
  <c r="E10" i="40"/>
  <c r="G9" i="40"/>
  <c r="F9" i="40"/>
  <c r="E9" i="40"/>
  <c r="G8" i="40"/>
  <c r="F8" i="40"/>
  <c r="E8" i="40"/>
  <c r="G7" i="40"/>
  <c r="E7" i="40"/>
  <c r="F7" i="40"/>
  <c r="G6" i="40"/>
  <c r="F6" i="40"/>
  <c r="E6" i="40"/>
  <c r="G5" i="40"/>
  <c r="F5" i="40"/>
  <c r="E5" i="40"/>
  <c r="W2" i="3"/>
  <c r="X2" i="3"/>
  <c r="H22" i="40" l="1"/>
  <c r="J22" i="40" s="1"/>
  <c r="H21" i="40"/>
  <c r="K21" i="40" s="1"/>
  <c r="H20" i="40"/>
  <c r="H19" i="40"/>
  <c r="H18" i="40"/>
  <c r="H17" i="40"/>
  <c r="H16" i="40"/>
  <c r="H15" i="40"/>
  <c r="H14" i="40"/>
  <c r="H13" i="40"/>
  <c r="H12" i="40"/>
  <c r="H11" i="40"/>
  <c r="H10" i="40"/>
  <c r="H9" i="40"/>
  <c r="H8" i="40"/>
  <c r="H7" i="40"/>
  <c r="H6" i="40"/>
  <c r="H5" i="40"/>
  <c r="M5" i="40" s="1"/>
  <c r="M22" i="40" l="1"/>
  <c r="L22" i="40"/>
  <c r="K22" i="40"/>
  <c r="J21" i="40"/>
  <c r="L21" i="40"/>
  <c r="M21" i="40"/>
  <c r="K20" i="40"/>
  <c r="L20" i="40"/>
  <c r="M20" i="40"/>
  <c r="J20" i="40"/>
  <c r="J15" i="40"/>
  <c r="K15" i="40"/>
  <c r="L15" i="40"/>
  <c r="M15" i="40"/>
  <c r="J11" i="40"/>
  <c r="K11" i="40"/>
  <c r="L11" i="40"/>
  <c r="M11" i="40"/>
  <c r="M16" i="40"/>
  <c r="J16" i="40"/>
  <c r="K16" i="40"/>
  <c r="L16" i="40"/>
  <c r="J9" i="40"/>
  <c r="K9" i="40"/>
  <c r="L9" i="40"/>
  <c r="M9" i="40"/>
  <c r="J12" i="40"/>
  <c r="K12" i="40"/>
  <c r="L12" i="40"/>
  <c r="M12" i="40"/>
  <c r="J17" i="40"/>
  <c r="K17" i="40"/>
  <c r="L17" i="40"/>
  <c r="M17" i="40"/>
  <c r="M8" i="40"/>
  <c r="J8" i="40"/>
  <c r="K8" i="40"/>
  <c r="L8" i="40"/>
  <c r="J13" i="40"/>
  <c r="L13" i="40"/>
  <c r="K13" i="40"/>
  <c r="M13" i="40"/>
  <c r="J6" i="40"/>
  <c r="K6" i="40"/>
  <c r="L6" i="40"/>
  <c r="M6" i="40"/>
  <c r="J18" i="40"/>
  <c r="K18" i="40"/>
  <c r="L18" i="40"/>
  <c r="M18" i="40"/>
  <c r="J10" i="40"/>
  <c r="K10" i="40"/>
  <c r="L10" i="40"/>
  <c r="M10" i="40"/>
  <c r="L14" i="40"/>
  <c r="J14" i="40"/>
  <c r="K14" i="40"/>
  <c r="M14" i="40"/>
  <c r="M7" i="40"/>
  <c r="J7" i="40"/>
  <c r="K7" i="40"/>
  <c r="L7" i="40"/>
  <c r="J19" i="40"/>
  <c r="K19" i="40"/>
  <c r="L19" i="40"/>
  <c r="M19" i="40"/>
  <c r="L5" i="40"/>
  <c r="J5" i="40"/>
  <c r="K5" i="4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6AB126-7133-41EA-AFC3-320CFABE89C3}" keepAlive="1" name="Query - working_table" description="Connection to the 'working_table' query in the workbook." type="5" refreshedVersion="8" background="1" saveData="1">
    <dbPr connection="Provider=Microsoft.Mashup.OleDb.1;Data Source=$Workbook$;Location=working_table;Extended Properties=&quot;&quot;" command="SELECT * FROM [working_table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<sst xmlns="http://schemas.openxmlformats.org/spreadsheetml/2006/main" count="281" uniqueCount="182">
  <si>
    <t xml:space="preserve"> GTFCC Excel-based tool for the Identification of priority areas for 
multisectoral interventions for cholera elimination</t>
  </si>
  <si>
    <t>Hyperlinks</t>
  </si>
  <si>
    <r>
      <t>This GTFCC Excel-based tool aims to automatize the calculation of the indicators and cholera vulnerability index for the</t>
    </r>
    <r>
      <rPr>
        <b/>
        <sz val="14"/>
        <color theme="1"/>
        <rFont val="Calibri"/>
        <family val="2"/>
        <scheme val="minor"/>
      </rPr>
      <t xml:space="preserve"> identification of priority areas for multisectoral interventions (PAMIs) </t>
    </r>
    <r>
      <rPr>
        <sz val="14"/>
        <color theme="1"/>
        <rFont val="Calibri"/>
        <family val="2"/>
        <scheme val="minor"/>
      </rPr>
      <t>for cholera elimination as described in the GTFCC Interim Guidance (2023) available at:</t>
    </r>
  </si>
  <si>
    <t>Identification of priority areas for multisectoral interventions for cholera elimination</t>
  </si>
  <si>
    <r>
      <t xml:space="preserve">This tool should be jointly used with the </t>
    </r>
    <r>
      <rPr>
        <b/>
        <sz val="14"/>
        <color theme="1"/>
        <rFont val="Calibri"/>
        <family val="2"/>
        <scheme val="minor"/>
      </rPr>
      <t>User guide</t>
    </r>
    <r>
      <rPr>
        <sz val="14"/>
        <color theme="1"/>
        <rFont val="Calibri"/>
        <family val="2"/>
        <scheme val="minor"/>
      </rPr>
      <t xml:space="preserve">: </t>
    </r>
  </si>
  <si>
    <t>User guide PAMI for cholera elimination Excel-based tool</t>
  </si>
  <si>
    <r>
      <t xml:space="preserve">This user guide comes along with a </t>
    </r>
    <r>
      <rPr>
        <b/>
        <sz val="14"/>
        <color theme="1"/>
        <rFont val="Calibri"/>
        <family val="2"/>
        <scheme val="minor"/>
      </rPr>
      <t xml:space="preserve">data set template </t>
    </r>
    <r>
      <rPr>
        <sz val="14"/>
        <color theme="1"/>
        <rFont val="Calibri"/>
        <family val="2"/>
        <scheme val="minor"/>
      </rPr>
      <t xml:space="preserve">for data preparation prior to import the data set into in the GTFCC Excel-based tool: </t>
    </r>
  </si>
  <si>
    <t>Data input template</t>
  </si>
  <si>
    <r>
      <rPr>
        <b/>
        <sz val="14"/>
        <color theme="1"/>
        <rFont val="Calibri"/>
        <family val="2"/>
        <scheme val="minor"/>
      </rPr>
      <t>A training dataset</t>
    </r>
    <r>
      <rPr>
        <sz val="14"/>
        <color theme="1"/>
        <rFont val="Calibri"/>
        <family val="2"/>
        <scheme val="minor"/>
      </rPr>
      <t xml:space="preserve"> to help users familiarize themself in the manipulation of the GTFCC Excel-based tool is avalaible at:</t>
    </r>
  </si>
  <si>
    <t>Training dataset</t>
  </si>
  <si>
    <t>Contact:</t>
  </si>
  <si>
    <t>gtfccsecretariat@who.int</t>
  </si>
  <si>
    <t>Overview</t>
  </si>
  <si>
    <r>
      <t xml:space="preserve">The tool is organized  with </t>
    </r>
    <r>
      <rPr>
        <b/>
        <sz val="14"/>
        <color theme="1"/>
        <rFont val="Calibri"/>
        <family val="2"/>
        <scheme val="minor"/>
      </rPr>
      <t>six sheets</t>
    </r>
    <r>
      <rPr>
        <sz val="14"/>
        <color theme="1"/>
        <rFont val="Calibri"/>
        <family val="2"/>
        <scheme val="minor"/>
      </rPr>
      <t xml:space="preserve"> from left to right:</t>
    </r>
  </si>
  <si>
    <r>
      <rPr>
        <b/>
        <sz val="14"/>
        <rFont val="Calibri"/>
        <family val="2"/>
        <scheme val="minor"/>
      </rPr>
      <t>Information</t>
    </r>
    <r>
      <rPr>
        <sz val="14"/>
        <rFont val="Calibri"/>
        <family val="2"/>
        <scheme val="minor"/>
      </rPr>
      <t xml:space="preserve"> presents the tool and relevant documents.</t>
    </r>
  </si>
  <si>
    <r>
      <rPr>
        <b/>
        <sz val="14"/>
        <rFont val="Calibri"/>
        <family val="2"/>
        <scheme val="minor"/>
      </rPr>
      <t>─&gt; Data input table</t>
    </r>
    <r>
      <rPr>
        <sz val="14"/>
        <rFont val="Calibri"/>
        <family val="2"/>
        <scheme val="minor"/>
      </rPr>
      <t xml:space="preserve"> corresponds to the data import sheet for input dataset prepared for the analysis according to the data template.</t>
    </r>
  </si>
  <si>
    <r>
      <rPr>
        <b/>
        <sz val="14"/>
        <rFont val="Calibri"/>
        <family val="2"/>
        <scheme val="minor"/>
      </rPr>
      <t xml:space="preserve">─&gt; Factor selection </t>
    </r>
    <r>
      <rPr>
        <sz val="14"/>
        <rFont val="Calibri"/>
        <family val="2"/>
        <scheme val="minor"/>
      </rPr>
      <t>allows user to select the contribution and set the weigth (if applicable) for each vulnerability indicator for the index calculation.</t>
    </r>
  </si>
  <si>
    <r>
      <rPr>
        <b/>
        <sz val="14"/>
        <rFont val="Calibri"/>
        <family val="2"/>
        <scheme val="minor"/>
      </rPr>
      <t>R.1| Vulnera. index calculation</t>
    </r>
    <r>
      <rPr>
        <sz val="14"/>
        <rFont val="Calibri"/>
        <family val="2"/>
        <scheme val="minor"/>
      </rPr>
      <t xml:space="preserve"> provides automated calculations of number of missing data and vulnerability index.</t>
    </r>
  </si>
  <si>
    <r>
      <rPr>
        <b/>
        <sz val="14"/>
        <rFont val="Calibri"/>
        <family val="2"/>
        <scheme val="minor"/>
      </rPr>
      <t>R.2| Vulnera. index summary</t>
    </r>
    <r>
      <rPr>
        <sz val="14"/>
        <rFont val="Calibri"/>
        <family val="2"/>
        <scheme val="minor"/>
      </rPr>
      <t xml:space="preserve"> contains a pivot table with the key parameters stratified by vulnerability index values.</t>
    </r>
  </si>
  <si>
    <r>
      <rPr>
        <b/>
        <sz val="14"/>
        <rFont val="Calibri"/>
        <family val="2"/>
        <scheme val="minor"/>
      </rPr>
      <t>R.3| Missing data overview</t>
    </r>
    <r>
      <rPr>
        <sz val="14"/>
        <rFont val="Calibri"/>
        <family val="2"/>
        <scheme val="minor"/>
      </rPr>
      <t xml:space="preserve"> presents the frequency of missing values by vulnerability factors.</t>
    </r>
  </si>
  <si>
    <r>
      <rPr>
        <b/>
        <sz val="14"/>
        <rFont val="Calibri"/>
        <family val="2"/>
        <scheme val="minor"/>
      </rPr>
      <t>R.4| Table PAMIs export</t>
    </r>
    <r>
      <rPr>
        <sz val="14"/>
        <rFont val="Calibri"/>
        <family val="2"/>
        <scheme val="minor"/>
      </rPr>
      <t xml:space="preserve"> corresponds to the data of </t>
    </r>
    <r>
      <rPr>
        <b/>
        <sz val="14"/>
        <rFont val="Calibri"/>
        <family val="2"/>
        <scheme val="minor"/>
      </rPr>
      <t>R.1| Priority index calculation</t>
    </r>
    <r>
      <rPr>
        <sz val="14"/>
        <rFont val="Calibri"/>
        <family val="2"/>
        <scheme val="minor"/>
      </rPr>
      <t xml:space="preserve"> available for data exploration (sort/filter) and can be  exported for further mapping and analysis.</t>
    </r>
  </si>
  <si>
    <t>Instruction summary</t>
  </si>
  <si>
    <t xml:space="preserve"> 	It is recommended to always use an empty input dataset template and an empty GTFCC Excel-based tool for each new analysis.</t>
  </si>
  <si>
    <t xml:space="preserve">To compute the priority index, the major steps are the following:
</t>
  </si>
  <si>
    <r>
      <t xml:space="preserve">Import the input dataset into the </t>
    </r>
    <r>
      <rPr>
        <b/>
        <sz val="14"/>
        <color theme="1"/>
        <rFont val="Calibri"/>
        <family val="2"/>
        <scheme val="minor"/>
      </rPr>
      <t>─&gt; Data input table</t>
    </r>
    <r>
      <rPr>
        <sz val="14"/>
        <color theme="1"/>
        <rFont val="Calibri"/>
        <family val="2"/>
        <scheme val="minor"/>
      </rPr>
      <t xml:space="preserve"> tab. The data should be prepared using the </t>
    </r>
    <r>
      <rPr>
        <b/>
        <sz val="14"/>
        <color theme="1"/>
        <rFont val="Calibri"/>
        <family val="2"/>
        <scheme val="minor"/>
      </rPr>
      <t>2023-gtfcc-pami-cholera-elimination-input-dataset-template-en.xlsx</t>
    </r>
    <r>
      <rPr>
        <sz val="14"/>
        <color theme="1"/>
        <rFont val="Calibri"/>
        <family val="2"/>
        <scheme val="minor"/>
      </rPr>
      <t xml:space="preserve"> file. 
The dataset structure and the names of variables should strictly follow the nomenclature described in the user guide.</t>
    </r>
  </si>
  <si>
    <r>
      <t xml:space="preserve">Update measurable indicator definition(s) for each vulnerability factor(s) as needed in the </t>
    </r>
    <r>
      <rPr>
        <b/>
        <sz val="14"/>
        <rFont val="Calibri"/>
        <family val="2"/>
        <scheme val="minor"/>
      </rPr>
      <t>─&gt; Factor selection</t>
    </r>
    <r>
      <rPr>
        <sz val="14"/>
        <rFont val="Calibri"/>
        <family val="2"/>
        <scheme val="minor"/>
      </rPr>
      <t xml:space="preserve"> tab.
Select  relative weight (if applicable) and contribution of each vulnerability factor into the calculation of the vulnerability index.</t>
    </r>
  </si>
  <si>
    <r>
      <t xml:space="preserve">Compute automatically the vulnerability index for all NCP operational geographic units selecting the range of data input in  </t>
    </r>
    <r>
      <rPr>
        <b/>
        <sz val="14"/>
        <rFont val="Calibri"/>
        <family val="2"/>
        <scheme val="minor"/>
      </rPr>
      <t xml:space="preserve">R.1| Vulnera. index calculation </t>
    </r>
    <r>
      <rPr>
        <sz val="14"/>
        <rFont val="Calibri"/>
        <family val="2"/>
        <scheme val="minor"/>
      </rPr>
      <t>tab.</t>
    </r>
  </si>
  <si>
    <r>
      <t xml:space="preserve">Consult the results and the summary table by refreshing the entire workbook by pressing </t>
    </r>
    <r>
      <rPr>
        <b/>
        <sz val="14"/>
        <rFont val="Calibri"/>
        <family val="2"/>
        <scheme val="minor"/>
      </rPr>
      <t>Ctrl + Alt + F5</t>
    </r>
    <r>
      <rPr>
        <sz val="14"/>
        <rFont val="Calibri"/>
        <family val="2"/>
        <scheme val="minor"/>
      </rPr>
      <t xml:space="preserve">.
Check missing values in </t>
    </r>
    <r>
      <rPr>
        <b/>
        <sz val="14"/>
        <rFont val="Calibri"/>
        <family val="2"/>
        <scheme val="minor"/>
      </rPr>
      <t>R.3| Missing data overview</t>
    </r>
    <r>
      <rPr>
        <sz val="14"/>
        <rFont val="Calibri"/>
        <family val="2"/>
        <scheme val="minor"/>
      </rPr>
      <t xml:space="preserve"> tab, and complete imported data as needed (see guidance and user guide for the recommendations about the management of missing information).</t>
    </r>
  </si>
  <si>
    <t>Export the vulnerability factor information and vulnerability index values using the datatable avalaible in R.4| Table PAMIs export tab.</t>
  </si>
  <si>
    <r>
      <rPr>
        <b/>
        <sz val="14"/>
        <color theme="1"/>
        <rFont val="Calibri"/>
        <family val="2"/>
        <scheme val="minor"/>
      </rPr>
      <t xml:space="preserve">Detailed instructions are available in the User guide. </t>
    </r>
    <r>
      <rPr>
        <sz val="14"/>
        <color theme="1"/>
        <rFont val="Calibri"/>
        <family val="2"/>
        <scheme val="minor"/>
      </rPr>
      <t xml:space="preserve">
The User guide aims to provide users with step-by-step guidance for the identification of PAMIs for cholera elimination, in particular explanations on how to use the  GTFCC Excel-based tool. 
This document is intended for epidemiologists and data analysts who participate in cholera surveillance and identification of PAMIs.</t>
    </r>
  </si>
  <si>
    <t>Paste data here (as values only)</t>
  </si>
  <si>
    <t>…</t>
  </si>
  <si>
    <t>Æ</t>
  </si>
  <si>
    <t xml:space="preserve">Update measurable indicator definition </t>
  </si>
  <si>
    <t>Set the indicator relative weigth (if applicable)</t>
  </si>
  <si>
    <t>Select factors for the vulnerability index calculation</t>
  </si>
  <si>
    <t xml:space="preserve"> - Outcome of each measurable indicator is expected to be "Yes"/"No"</t>
  </si>
  <si>
    <t>- Do not modify the variable names</t>
  </si>
  <si>
    <t>- By default, unweighted sum corresponds to weight value of 1
 - Numeric weight can be modified by the user (e.g., 2, 4, …)</t>
  </si>
  <si>
    <t>—</t>
  </si>
  <si>
    <t>Vulnerability factors</t>
  </si>
  <si>
    <t>Measurable indicators</t>
  </si>
  <si>
    <t>Variable names</t>
  </si>
  <si>
    <t>Indicator weight</t>
  </si>
  <si>
    <t>Selection of factors in the vulnerability index</t>
  </si>
  <si>
    <t>Confirmed cholera outbreak(s) over the analysis period</t>
  </si>
  <si>
    <t>NCP unit with at least one confirmed cholera outbreak reported over the past five year/analysis period</t>
  </si>
  <si>
    <t>VF_01_chol_otbk</t>
  </si>
  <si>
    <t>Not applicable</t>
  </si>
  <si>
    <t>If "YES",  NCP geo. unit is a PAMI</t>
  </si>
  <si>
    <t>NCP unit with at least one confirmed cholera case imported (from another country or another NCP operational geographic unit reported during the analysis period)</t>
  </si>
  <si>
    <t>VF_02_chol_import</t>
  </si>
  <si>
    <t>Included in the vulnerability index</t>
  </si>
  <si>
    <t>Cross-border areas adjacent to frequently cholera-affected areas or identified PAMIs in neighbouring country(ies)</t>
  </si>
  <si>
    <t>Cross-border NCP unit adjacent to cross-border areas frequently affected by cholera outbreaks or classified as PAMI in neighbouring countries</t>
  </si>
  <si>
    <t>VF_03_chol_proximity</t>
  </si>
  <si>
    <t>Location along major travel routes with transportation hubs</t>
  </si>
  <si>
    <t>NCP unit located along transportation pathway(s) with transportation hub(s)</t>
  </si>
  <si>
    <t>VF_04_mov_pathw</t>
  </si>
  <si>
    <t>Major population gatherings</t>
  </si>
  <si>
    <t>NCP unit hosting major population gathering(s)</t>
  </si>
  <si>
    <t>VF_05_pop_gathering</t>
  </si>
  <si>
    <t>High population density locations or overcrowded settings</t>
  </si>
  <si>
    <t>NCP unit with high population density or overcrowded settings</t>
  </si>
  <si>
    <t>VF_06_overcrowded_set</t>
  </si>
  <si>
    <t>High-risk populations</t>
  </si>
  <si>
    <t>NCP unit with high-risk population</t>
  </si>
  <si>
    <t>VF_07_high_risk_pop</t>
  </si>
  <si>
    <t>Hard-to-access populations</t>
  </si>
  <si>
    <t>NCP unit with hard-to-access population</t>
  </si>
  <si>
    <t>VF_08_hard_to_acc_risk_pop</t>
  </si>
  <si>
    <t>NCP unit with a population vaccinated more than three years ago (two-doses OCV campaign with a coverage for both round &gt;70%)</t>
  </si>
  <si>
    <t>VF_09_ocv</t>
  </si>
  <si>
    <t>High-risk for extreme climate and weather conditions</t>
  </si>
  <si>
    <t>NCP unit exposed to extreme climate and weather conditions</t>
  </si>
  <si>
    <t>VF_10_climate_event</t>
  </si>
  <si>
    <t>Complex humanitarian emergency</t>
  </si>
  <si>
    <t>NCP unit located in an area under a complex humanitarian emergency</t>
  </si>
  <si>
    <t>VF_11_comp_humanit_emerg</t>
  </si>
  <si>
    <t xml:space="preserve">Unimproved water </t>
  </si>
  <si>
    <t>NCP unit with more than 30% of the population using unimproved water facility type (calculated as sum of % of population with unimproved service level and % of population using surface water) OR more than 15% of the population using surface water</t>
  </si>
  <si>
    <t>VF_12_unimprov_water</t>
  </si>
  <si>
    <t xml:space="preserve">Unimproved sanitation </t>
  </si>
  <si>
    <t>NCP unit with more than 50% of the population using unimproved sanitation facility type (calculated as % of population with unimproved sanitation service level and % of population practicing open defecation) OR more than 30% of the population practicing open defecation</t>
  </si>
  <si>
    <t>VF_13_unimprov_sanitat</t>
  </si>
  <si>
    <t xml:space="preserve">Limited access to hygiene </t>
  </si>
  <si>
    <t>NCP unit with more than 50% of the population with no handwashing facility on premises</t>
  </si>
  <si>
    <t>VF_14_limited_hygien</t>
  </si>
  <si>
    <t>Additionnal country-specifc cholera vulnerability factor (1)</t>
  </si>
  <si>
    <t>To be completed if additionnal cholera country-specific factor are selected: "NCP unit with …"</t>
  </si>
  <si>
    <t>VF_15_add_factor_1</t>
  </si>
  <si>
    <t>Excluded from the vulnerability index</t>
  </si>
  <si>
    <t>Additionnal country-specifc cholera vulnerability factor (2)</t>
  </si>
  <si>
    <t>VF_16_add_factor_2</t>
  </si>
  <si>
    <t>Additionnal country-specifc cholera vulnerability factor (3)</t>
  </si>
  <si>
    <t>VF_17_add_factor_3</t>
  </si>
  <si>
    <t>Additionnal country-specifc cholera vulnerability factor (4)</t>
  </si>
  <si>
    <t>VF_18_add_factor_4</t>
  </si>
  <si>
    <t>unique_id</t>
  </si>
  <si>
    <t>admin_1</t>
  </si>
  <si>
    <t>admin_2</t>
  </si>
  <si>
    <t>pop</t>
  </si>
  <si>
    <t>Number_of_missing_values</t>
  </si>
  <si>
    <r>
      <t xml:space="preserve">To refresh the table, type </t>
    </r>
    <r>
      <rPr>
        <b/>
        <i/>
        <sz val="11"/>
        <color theme="0" tint="-0.499984740745262"/>
        <rFont val="Calibri"/>
        <family val="2"/>
        <scheme val="minor"/>
      </rPr>
      <t>CTRL + ALT + F5</t>
    </r>
    <r>
      <rPr>
        <i/>
        <sz val="11"/>
        <color theme="0" tint="-0.499984740745262"/>
        <rFont val="Calibri"/>
        <family val="2"/>
        <scheme val="minor"/>
      </rPr>
      <t xml:space="preserve"> or open tab Data, then select the drop-down menu “Refresh all” and click on “Refresh all”  </t>
    </r>
  </si>
  <si>
    <t>Vulnerability index values</t>
  </si>
  <si>
    <t>Number of geographic units</t>
  </si>
  <si>
    <t>Cum. number of geographic units</t>
  </si>
  <si>
    <t>Rel. % of the num. of geographic units</t>
  </si>
  <si>
    <t>Cum. % of the num. of geographic units</t>
  </si>
  <si>
    <t>Total population</t>
  </si>
  <si>
    <t>Rel. % of total population</t>
  </si>
  <si>
    <t xml:space="preserve">Cum. % of total population </t>
  </si>
  <si>
    <t>#REF!</t>
  </si>
  <si>
    <t>NA</t>
  </si>
  <si>
    <t>Grand Total</t>
  </si>
  <si>
    <t>Num. of observations</t>
  </si>
  <si>
    <t>Relative percentage</t>
  </si>
  <si>
    <t>Missing values</t>
  </si>
  <si>
    <t>"No"</t>
  </si>
  <si>
    <t>"Yes"</t>
  </si>
  <si>
    <t>Total</t>
  </si>
  <si>
    <t>Do not modify - for more information , check "Name Manager" under "Formulas" menu</t>
  </si>
  <si>
    <t>Vulnerability factor contribution</t>
  </si>
  <si>
    <t>Variables</t>
  </si>
  <si>
    <t>Label_named_var</t>
  </si>
  <si>
    <t>Values_named_var</t>
  </si>
  <si>
    <t>Validation list in "-&gt; Factor selection"
Table: factor contribution</t>
  </si>
  <si>
    <t>Validation list in "-&gt; Factor selection"
Table: factor inclusion in vulnerability index</t>
  </si>
  <si>
    <t>_0_uniq_id</t>
  </si>
  <si>
    <t>data_inputs[@[unique_id]]</t>
  </si>
  <si>
    <t>X</t>
  </si>
  <si>
    <t>_1_adi_1</t>
  </si>
  <si>
    <t>data_inputs[@[admin_1]]</t>
  </si>
  <si>
    <t>.</t>
  </si>
  <si>
    <t>_2_adi_2</t>
  </si>
  <si>
    <t>data_inputs[@[admin_2]]</t>
  </si>
  <si>
    <t>population</t>
  </si>
  <si>
    <t>_3_pop</t>
  </si>
  <si>
    <t>data_inputs[@[population]]</t>
  </si>
  <si>
    <t>_q01</t>
  </si>
  <si>
    <t>data_inputs[@[VF_01_chol_otbk]]</t>
  </si>
  <si>
    <t>_q02</t>
  </si>
  <si>
    <t>data_inputs[@[VF_02_chol_import]]</t>
  </si>
  <si>
    <t>_q03</t>
  </si>
  <si>
    <t>data_inputs[@[VF_03_chol_proximity]]</t>
  </si>
  <si>
    <t>_q04</t>
  </si>
  <si>
    <t>data_inputs[@[VF_04_mov_pathw]]</t>
  </si>
  <si>
    <t>_q05</t>
  </si>
  <si>
    <t>data_inputs[@[VF_05_pop_gathering]]</t>
  </si>
  <si>
    <t>_q06</t>
  </si>
  <si>
    <t>data_inputs[@[VF_06_overcrowded_set]]</t>
  </si>
  <si>
    <t>_q07</t>
  </si>
  <si>
    <t>data_inputs[@[VF_07_high_risk_pop]]</t>
  </si>
  <si>
    <t>_q08</t>
  </si>
  <si>
    <t>data_inputs[@[VF_08_hard_to_acc_risk_pop]]</t>
  </si>
  <si>
    <t>_q09</t>
  </si>
  <si>
    <t>data_inputs[@[VF_09_ocv]]</t>
  </si>
  <si>
    <t>_q10</t>
  </si>
  <si>
    <t>data_inputs[@[VF_10_climate_event]]</t>
  </si>
  <si>
    <t>_q11</t>
  </si>
  <si>
    <t>data_inputs[@[VF_11_comp_humanit_emerg]]</t>
  </si>
  <si>
    <t>_q12</t>
  </si>
  <si>
    <t>data_inputs[@[VF_12_unimprov_water]]</t>
  </si>
  <si>
    <t>_q13</t>
  </si>
  <si>
    <t>data_inputs[@[VF_13_unimprov_sanitat]]</t>
  </si>
  <si>
    <t>_q14</t>
  </si>
  <si>
    <t>data_inputs[@[VF_14_limited_hygien]]</t>
  </si>
  <si>
    <t>_q15</t>
  </si>
  <si>
    <t>data_inputs[@[VF_15_add_factor_1]]</t>
  </si>
  <si>
    <t>_q16</t>
  </si>
  <si>
    <t>data_inputs[@[VF_16_add_factor_2]]</t>
  </si>
  <si>
    <t>_q17</t>
  </si>
  <si>
    <t>data_inputs[@[VF_17_add_factor_3]]</t>
  </si>
  <si>
    <t>_q18</t>
  </si>
  <si>
    <t>data_inputs[@[VF_18_add_factor_4]]</t>
  </si>
  <si>
    <t>Population that received oral cholera vaccine (OCV) more than three years ago</t>
  </si>
  <si>
    <t>Confirmed cholera imported case(s) in the NCP operational geographic unit considered</t>
  </si>
  <si>
    <r>
      <t xml:space="preserve"> - </t>
    </r>
    <r>
      <rPr>
        <sz val="14"/>
        <rFont val="Calibri"/>
        <family val="2"/>
        <scheme val="minor"/>
      </rPr>
      <t xml:space="preserve">Use the drop menu to select vulnerability factors to be included in the vulnerability index calculation </t>
    </r>
    <r>
      <rPr>
        <sz val="14"/>
        <color theme="1"/>
        <rFont val="Calibri"/>
        <family val="2"/>
        <scheme val="minor"/>
      </rPr>
      <t>(except for "</t>
    </r>
    <r>
      <rPr>
        <b/>
        <sz val="14"/>
        <color theme="1"/>
        <rFont val="Calibri"/>
        <family val="2"/>
        <scheme val="minor"/>
      </rPr>
      <t>Confirmed cholera outbreak(s) over the analysis period</t>
    </r>
    <r>
      <rPr>
        <sz val="14"/>
        <color theme="1"/>
        <rFont val="Calibri"/>
        <family val="2"/>
        <scheme val="minor"/>
      </rPr>
      <t>" already added by default )</t>
    </r>
  </si>
  <si>
    <t>List of the
country-specific vulnerability factors</t>
  </si>
  <si>
    <t>Vulnerability_index</t>
  </si>
  <si>
    <t>Summary table of key parameters stratified by vulnerability index values</t>
  </si>
  <si>
    <t>Priority_index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</si>
</sst>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8"/>
      <color rgb="FFFFFFFF"/>
      <name val="Calibri"/>
      <family val="2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1"/>
      <name val="Wingdings 3"/>
      <family val="1"/>
      <charset val="2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5"/>
      <name val="Arial"/>
      <family val="2"/>
    </font>
    <font>
      <sz val="15"/>
      <color theme="1"/>
      <name val="Calibri"/>
      <family val="2"/>
      <scheme val="minor"/>
    </font>
    <font>
      <sz val="15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15"/>
      <color theme="1"/>
      <name val="Arial"/>
      <family val="2"/>
    </font>
    <font>
      <sz val="15"/>
      <name val="Arial"/>
      <family val="2"/>
    </font>
    <font>
      <i/>
      <sz val="15"/>
      <color rgb="FF00B050"/>
      <name val="Arial"/>
      <family val="2"/>
    </font>
    <font>
      <sz val="10"/>
      <color theme="1"/>
      <name val="Calibri"/>
      <family val="2"/>
    </font>
    <font>
      <b/>
      <sz val="24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83D9D7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D99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9" fillId="0" borderId="0"/>
    <xf numFmtId="0" fontId="1" fillId="8" borderId="0" applyNumberFormat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0" fillId="0" borderId="4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indent="1"/>
    </xf>
    <xf numFmtId="0" fontId="13" fillId="0" borderId="2" xfId="0" applyFont="1" applyBorder="1" applyAlignment="1">
      <alignment horizontal="left" wrapText="1" indent="1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/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12" fillId="7" borderId="2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3" fillId="3" borderId="0" xfId="0" applyFont="1" applyFill="1"/>
    <xf numFmtId="0" fontId="0" fillId="0" borderId="11" xfId="0" applyBorder="1"/>
    <xf numFmtId="0" fontId="6" fillId="4" borderId="7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8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indent="1"/>
    </xf>
    <xf numFmtId="0" fontId="13" fillId="0" borderId="2" xfId="0" applyFont="1" applyBorder="1" applyAlignment="1">
      <alignment horizontal="left" vertical="center" wrapText="1" indent="1"/>
    </xf>
    <xf numFmtId="0" fontId="0" fillId="0" borderId="9" xfId="0" applyBorder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4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1" fontId="23" fillId="0" borderId="15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 vertical="center" textRotation="45"/>
    </xf>
    <xf numFmtId="0" fontId="5" fillId="11" borderId="17" xfId="3" applyFont="1" applyFill="1" applyBorder="1" applyAlignment="1">
      <alignment horizontal="center" vertical="center" textRotation="45"/>
    </xf>
    <xf numFmtId="0" fontId="5" fillId="5" borderId="17" xfId="3" applyFont="1" applyFill="1" applyBorder="1" applyAlignment="1">
      <alignment horizontal="center" vertical="center" textRotation="45"/>
    </xf>
    <xf numFmtId="0" fontId="24" fillId="2" borderId="17" xfId="0" applyFont="1" applyFill="1" applyBorder="1" applyAlignment="1">
      <alignment horizontal="center" vertical="center" textRotation="45"/>
    </xf>
    <xf numFmtId="0" fontId="23" fillId="0" borderId="15" xfId="0" applyFont="1" applyBorder="1" applyAlignment="1">
      <alignment horizontal="right" inden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1" xfId="5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164" fontId="0" fillId="0" borderId="22" xfId="5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3" fillId="0" borderId="21" xfId="5" applyNumberFormat="1" applyFont="1" applyBorder="1" applyAlignment="1">
      <alignment horizontal="center" vertical="center" wrapText="1"/>
    </xf>
    <xf numFmtId="164" fontId="3" fillId="0" borderId="22" xfId="5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3" fontId="0" fillId="0" borderId="0" xfId="0" applyNumberFormat="1"/>
    <xf numFmtId="164" fontId="3" fillId="0" borderId="0" xfId="0" applyNumberFormat="1" applyFont="1"/>
    <xf numFmtId="0" fontId="27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3" fillId="0" borderId="14" xfId="0" applyFont="1" applyBorder="1" applyAlignment="1">
      <alignment horizontal="left" wrapText="1" indent="1"/>
    </xf>
    <xf numFmtId="0" fontId="13" fillId="0" borderId="10" xfId="0" applyFont="1" applyBorder="1" applyAlignment="1">
      <alignment horizontal="left" wrapText="1" indent="1"/>
    </xf>
    <xf numFmtId="0" fontId="13" fillId="0" borderId="14" xfId="0" applyFont="1" applyBorder="1" applyAlignment="1">
      <alignment horizontal="left" wrapText="1"/>
    </xf>
    <xf numFmtId="0" fontId="13" fillId="0" borderId="18" xfId="0" applyFont="1" applyBorder="1" applyAlignment="1">
      <alignment horizontal="left" vertical="center" wrapText="1"/>
    </xf>
    <xf numFmtId="0" fontId="28" fillId="0" borderId="24" xfId="4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1" fontId="0" fillId="0" borderId="25" xfId="0" applyNumberFormat="1" applyBorder="1" applyAlignment="1">
      <alignment horizontal="left"/>
    </xf>
    <xf numFmtId="164" fontId="0" fillId="0" borderId="25" xfId="0" applyNumberFormat="1" applyBorder="1"/>
    <xf numFmtId="10" fontId="0" fillId="0" borderId="25" xfId="0" applyNumberFormat="1" applyBorder="1"/>
    <xf numFmtId="3" fontId="0" fillId="0" borderId="25" xfId="0" applyNumberFormat="1" applyBorder="1"/>
    <xf numFmtId="0" fontId="0" fillId="0" borderId="0" xfId="0" pivotButton="1" applyAlignment="1">
      <alignment horizontal="center" vertical="center" wrapText="1"/>
    </xf>
    <xf numFmtId="0" fontId="3" fillId="0" borderId="21" xfId="0" applyFont="1" applyBorder="1" applyAlignment="1">
      <alignment horizontal="right" vertical="center" wrapText="1" indent="1"/>
    </xf>
    <xf numFmtId="0" fontId="3" fillId="0" borderId="23" xfId="0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right" vertical="center" wrapText="1" indent="1"/>
    </xf>
    <xf numFmtId="164" fontId="0" fillId="0" borderId="0" xfId="0" applyNumberFormat="1"/>
    <xf numFmtId="0" fontId="0" fillId="0" borderId="25" xfId="0" applyBorder="1"/>
    <xf numFmtId="0" fontId="0" fillId="0" borderId="15" xfId="0" applyBorder="1"/>
    <xf numFmtId="0" fontId="37" fillId="0" borderId="15" xfId="0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9" borderId="0" xfId="0" applyFont="1" applyFill="1"/>
    <xf numFmtId="0" fontId="3" fillId="0" borderId="10" xfId="0" applyFont="1" applyBorder="1" applyAlignment="1">
      <alignment horizontal="left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protection locked="0"/>
    </xf>
    <xf numFmtId="0" fontId="2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31" fillId="0" borderId="8" xfId="0" applyFont="1" applyBorder="1" applyAlignment="1" applyProtection="1">
      <alignment horizontal="left" vertical="center" indent="1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0" fillId="0" borderId="21" xfId="0" applyFont="1" applyBorder="1" applyAlignment="1" applyProtection="1">
      <alignment horizontal="left" vertical="center" wrapText="1" indent="1"/>
      <protection locked="0"/>
    </xf>
    <xf numFmtId="0" fontId="32" fillId="0" borderId="21" xfId="0" applyFont="1" applyBorder="1" applyAlignment="1" applyProtection="1">
      <alignment horizontal="left" vertical="center" wrapText="1" inden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2" fillId="9" borderId="0" xfId="0" applyFont="1" applyFill="1" applyAlignment="1" applyProtection="1">
      <alignment horizontal="center" vertical="center" wrapText="1"/>
      <protection locked="0"/>
    </xf>
    <xf numFmtId="0" fontId="36" fillId="0" borderId="21" xfId="0" applyFont="1" applyBorder="1" applyAlignment="1" applyProtection="1">
      <alignment horizontal="left" vertical="center" wrapText="1" indent="1"/>
      <protection locked="0"/>
    </xf>
    <xf numFmtId="0" fontId="23" fillId="0" borderId="15" xfId="0" applyFont="1" applyBorder="1" applyProtection="1">
      <protection locked="0"/>
    </xf>
    <xf numFmtId="0" fontId="23" fillId="0" borderId="15" xfId="0" applyFont="1" applyBorder="1" applyAlignment="1" applyProtection="1">
      <alignment horizontal="center"/>
      <protection locked="0"/>
    </xf>
    <xf numFmtId="0" fontId="23" fillId="0" borderId="15" xfId="0" applyFont="1" applyBorder="1" applyAlignment="1" applyProtection="1">
      <alignment horizontal="right" indent="1"/>
      <protection locked="0"/>
    </xf>
    <xf numFmtId="1" fontId="23" fillId="0" borderId="15" xfId="0" applyNumberFormat="1" applyFont="1" applyBorder="1" applyAlignment="1" applyProtection="1">
      <alignment horizontal="center"/>
      <protection locked="0"/>
    </xf>
    <xf numFmtId="0" fontId="5" fillId="11" borderId="17" xfId="3" applyFont="1" applyFill="1" applyBorder="1" applyAlignment="1" applyProtection="1">
      <alignment horizontal="center" vertical="center" textRotation="45"/>
    </xf>
    <xf numFmtId="0" fontId="5" fillId="5" borderId="17" xfId="3" applyFont="1" applyFill="1" applyBorder="1" applyAlignment="1" applyProtection="1">
      <alignment horizontal="center" vertical="center" textRotation="45"/>
    </xf>
    <xf numFmtId="0" fontId="21" fillId="10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top" wrapText="1" indent="1"/>
    </xf>
    <xf numFmtId="0" fontId="13" fillId="0" borderId="2" xfId="0" applyFont="1" applyBorder="1" applyAlignment="1">
      <alignment horizontal="left" vertical="top" wrapText="1"/>
    </xf>
    <xf numFmtId="0" fontId="13" fillId="3" borderId="4" xfId="0" quotePrefix="1" applyFont="1" applyFill="1" applyBorder="1" applyAlignment="1">
      <alignment horizontal="left" vertical="top" wrapText="1" indent="1"/>
    </xf>
    <xf numFmtId="0" fontId="13" fillId="3" borderId="8" xfId="0" quotePrefix="1" applyFont="1" applyFill="1" applyBorder="1" applyAlignment="1">
      <alignment horizontal="left" vertical="top" wrapText="1" indent="1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9" fillId="2" borderId="16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3" fillId="0" borderId="7" xfId="0" applyFont="1" applyBorder="1"/>
    <xf numFmtId="0" fontId="30" fillId="11" borderId="21" xfId="0" applyFont="1" applyFill="1" applyBorder="1" applyAlignment="1">
      <alignment horizontal="left" vertical="center" wrapText="1" indent="1"/>
    </xf>
    <xf numFmtId="0" fontId="31" fillId="0" borderId="8" xfId="0" applyFont="1" applyBorder="1" applyAlignment="1">
      <alignment horizontal="left" vertical="center" indent="1"/>
    </xf>
    <xf numFmtId="0" fontId="32" fillId="11" borderId="21" xfId="0" applyFont="1" applyFill="1" applyBorder="1" applyAlignment="1">
      <alignment horizontal="left" vertical="center" wrapText="1" indent="1"/>
    </xf>
    <xf numFmtId="0" fontId="31" fillId="0" borderId="8" xfId="0" applyFont="1" applyBorder="1" applyAlignment="1">
      <alignment horizontal="left" vertical="center"/>
    </xf>
    <xf numFmtId="0" fontId="31" fillId="11" borderId="2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3" fillId="11" borderId="2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left" vertical="center" wrapText="1" indent="1"/>
    </xf>
    <xf numFmtId="0" fontId="35" fillId="0" borderId="21" xfId="0" applyFont="1" applyBorder="1" applyAlignment="1">
      <alignment horizontal="left" vertical="center" wrapText="1" inden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13" borderId="18" xfId="0" applyFont="1" applyFill="1" applyBorder="1" applyAlignment="1">
      <alignment horizontal="left" vertical="center" wrapText="1"/>
    </xf>
    <xf numFmtId="0" fontId="13" fillId="13" borderId="19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left" vertical="center" wrapText="1" indent="1"/>
    </xf>
    <xf numFmtId="0" fontId="14" fillId="0" borderId="5" xfId="0" applyFont="1" applyBorder="1" applyAlignment="1">
      <alignment horizontal="left" vertical="center" wrapText="1" inden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 indent="1"/>
    </xf>
    <xf numFmtId="0" fontId="13" fillId="5" borderId="8" xfId="0" applyFont="1" applyFill="1" applyBorder="1" applyAlignment="1">
      <alignment horizontal="left" vertical="center" wrapText="1" indent="1"/>
    </xf>
    <xf numFmtId="0" fontId="13" fillId="5" borderId="5" xfId="0" applyFont="1" applyFill="1" applyBorder="1" applyAlignment="1">
      <alignment horizontal="left" vertical="center" wrapText="1" indent="1"/>
    </xf>
    <xf numFmtId="0" fontId="13" fillId="0" borderId="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4" xfId="0" quotePrefix="1" applyFont="1" applyBorder="1" applyAlignment="1">
      <alignment vertical="center" wrapText="1"/>
    </xf>
    <xf numFmtId="0" fontId="14" fillId="0" borderId="4" xfId="0" quotePrefix="1" applyFont="1" applyBorder="1" applyAlignment="1">
      <alignment horizontal="left" vertical="center" wrapText="1"/>
    </xf>
    <xf numFmtId="0" fontId="14" fillId="0" borderId="8" xfId="0" quotePrefix="1" applyFont="1" applyBorder="1" applyAlignment="1">
      <alignment horizontal="left" vertical="center" wrapText="1"/>
    </xf>
    <xf numFmtId="0" fontId="14" fillId="0" borderId="5" xfId="0" quotePrefix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 indent="1"/>
    </xf>
    <xf numFmtId="0" fontId="21" fillId="10" borderId="4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6">
    <cellStyle name="20% - Accent5" xfId="3" builtinId="46"/>
    <cellStyle name="Heading 3" xfId="1" builtinId="18"/>
    <cellStyle name="Hyperlink" xfId="4" builtinId="8"/>
    <cellStyle name="Normal" xfId="0" builtinId="0"/>
    <cellStyle name="Normal 2" xfId="2" xr:uid="{07762A8A-3902-4AC7-9BE7-81EA482B0B3D}"/>
    <cellStyle name="Percent" xfId="5" builtinId="5"/>
  </cellStyles>
  <dxfs count="216">
    <dxf>
      <font>
        <sz val="10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right" vertical="bottom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numFmt numFmtId="0" formatCode="General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numFmt numFmtId="0" formatCode="General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numFmt numFmtId="0" formatCode="General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border outline="0"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45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color rgb="FFC0000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strike val="0"/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theme="5" tint="-0.499984740745262"/>
      </font>
      <fill>
        <patternFill>
          <bgColor theme="7" tint="0.79998168889431442"/>
        </patternFill>
      </fill>
    </dxf>
    <dxf>
      <font>
        <b/>
        <i val="0"/>
        <strike val="0"/>
        <color theme="1"/>
      </font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</font>
    </dxf>
    <dxf>
      <numFmt numFmtId="164" formatCode="0.0%"/>
    </dxf>
    <dxf>
      <numFmt numFmtId="164" formatCode="0.0%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</dxf>
    <dxf>
      <font>
        <b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" formatCode="0"/>
      <alignment horizontal="center" vertical="bottom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protection locked="0" hidden="0"/>
    </dxf>
    <dxf>
      <border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45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/>
        <i val="0"/>
        <color rgb="FFC0000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theme="5" tint="-0.499984740745262"/>
      </font>
      <fill>
        <patternFill>
          <bgColor theme="7" tint="0.7999816888943144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</font>
      <numFmt numFmtId="30" formatCode="@"/>
      <fill>
        <patternFill>
          <bgColor rgb="FFF7E9D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fill>
        <patternFill patternType="solid">
          <fgColor indexed="64"/>
          <bgColor theme="0" tint="-0.14999847407452621"/>
        </patternFill>
      </fill>
    </dxf>
    <dxf>
      <border>
        <left style="thin">
          <color theme="6"/>
        </left>
      </border>
    </dxf>
    <dxf>
      <border>
        <left style="thin">
          <color theme="6"/>
        </left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b/>
        <color theme="1"/>
      </font>
    </dxf>
    <dxf>
      <font>
        <b/>
        <color theme="1"/>
      </font>
    </dxf>
    <dxf>
      <font>
        <b/>
        <i val="0"/>
        <color theme="1"/>
      </font>
      <fill>
        <patternFill>
          <bgColor rgb="FFFFCC99"/>
        </patternFill>
      </fill>
      <border>
        <top style="double">
          <color theme="6"/>
        </top>
      </border>
    </dxf>
    <dxf>
      <font>
        <b/>
        <i val="0"/>
        <strike val="0"/>
        <color auto="1"/>
      </font>
      <fill>
        <patternFill patternType="solid">
          <fgColor theme="0" tint="-4.9989318521683403E-2"/>
          <bgColor rgb="FF009999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border>
        <left style="thin">
          <color theme="6"/>
        </left>
      </border>
    </dxf>
    <dxf>
      <border>
        <left style="thin">
          <color theme="6"/>
        </left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strike val="0"/>
        <color auto="1"/>
      </font>
      <fill>
        <patternFill patternType="solid">
          <fgColor theme="0" tint="-4.9989318521683403E-2"/>
          <bgColor theme="0" tint="-0.14996795556505021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/>
        </horizontal>
      </border>
    </dxf>
    <dxf>
      <border>
        <left/>
        <right/>
        <top style="thin">
          <color theme="0" tint="-4.9989318521683403E-2"/>
        </top>
        <bottom style="thin">
          <color theme="0" tint="-4.9989318521683403E-2"/>
        </bottom>
        <vertical/>
        <horizontal style="thin">
          <color theme="0" tint="-4.9989318521683403E-2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 patternType="solid">
          <fgColor theme="0"/>
          <bgColor rgb="FFEAEAEA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>
          <bgColor rgb="FFFFF2CC"/>
        </patternFill>
      </fill>
      <border diagonalUp="0" diagonalDown="0">
        <left/>
        <right/>
        <top/>
        <bottom style="thin">
          <color theme="0" tint="-0.24994659260841701"/>
        </bottom>
        <vertical style="thin">
          <color theme="0"/>
        </vertical>
        <horizontal/>
      </border>
    </dxf>
    <dxf>
      <font>
        <color theme="1"/>
      </font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 style="thin">
          <color theme="0" tint="-0.24994659260841701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 patternType="solid">
          <fgColor theme="0"/>
          <bgColor rgb="FFEAEAEA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>
          <bgColor rgb="FFFFF2CC"/>
        </patternFill>
      </fill>
      <border diagonalUp="0" diagonalDown="0">
        <left/>
        <right/>
        <top/>
        <bottom style="thin">
          <color theme="0" tint="-0.24994659260841701"/>
        </bottom>
        <vertical style="thin">
          <color theme="0"/>
        </vertical>
        <horizontal/>
      </border>
    </dxf>
    <dxf>
      <font>
        <color theme="1"/>
      </font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 style="thin">
          <color theme="0" tint="-0.24994659260841701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 patternType="solid">
          <fgColor theme="0"/>
          <bgColor rgb="FFEAEAEA"/>
        </patternFill>
      </fill>
      <border>
        <left/>
        <right/>
        <top style="thin">
          <color theme="0" tint="-0.24994659260841701"/>
        </top>
        <bottom style="thin">
          <color theme="1"/>
        </bottom>
        <vertical/>
        <horizontal/>
      </border>
    </dxf>
    <dxf>
      <font>
        <b/>
        <i val="0"/>
        <color auto="1"/>
      </font>
      <fill>
        <patternFill>
          <bgColor rgb="FFFFF2CC"/>
        </patternFill>
      </fill>
      <border diagonalUp="0" diagonalDown="0">
        <left/>
        <right/>
        <top/>
        <bottom style="thin">
          <color theme="0" tint="-0.24994659260841701"/>
        </bottom>
        <vertical style="thin">
          <color theme="0"/>
        </vertical>
        <horizontal/>
      </border>
    </dxf>
    <dxf>
      <font>
        <color theme="1"/>
      </font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 style="thin">
          <color theme="0" tint="-0.24994659260841701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 patternType="solid">
          <fgColor theme="0"/>
          <bgColor rgb="FFEAEAEA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>
          <bgColor rgb="FFFFF2CC"/>
        </patternFill>
      </fill>
      <border diagonalUp="0" diagonalDown="0">
        <left/>
        <right/>
        <top/>
        <bottom style="thin">
          <color theme="0" tint="-0.24994659260841701"/>
        </bottom>
        <vertical style="thin">
          <color theme="0"/>
        </vertical>
        <horizontal/>
      </border>
    </dxf>
    <dxf>
      <font>
        <color theme="1"/>
      </font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 style="thin">
          <color theme="0" tint="-0.24994659260841701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 patternType="solid">
          <fgColor theme="0"/>
          <bgColor rgb="FFEAEAEA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>
          <bgColor rgb="FFFFF2CC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1"/>
      </font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 style="thin">
          <color theme="0" tint="-0.24994659260841701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 patternType="solid">
          <fgColor theme="0"/>
          <bgColor rgb="FFEAEAEA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>
          <bgColor rgb="FFFFF2CC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1"/>
      </font>
      <border>
        <horizontal style="thin">
          <color theme="0" tint="-0.14999847407452621"/>
        </horizontal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 patternType="solid">
          <fgColor theme="0"/>
          <bgColor rgb="FFEAEAEA"/>
        </patternFill>
      </fill>
      <border>
        <left/>
        <right/>
        <top style="thin">
          <color theme="0" tint="-0.14996795556505021"/>
        </top>
        <bottom style="thin">
          <color theme="1"/>
        </bottom>
        <vertical/>
        <horizontal/>
      </border>
    </dxf>
    <dxf>
      <font>
        <b/>
        <i val="0"/>
        <color auto="1"/>
      </font>
      <fill>
        <patternFill>
          <bgColor rgb="FFFFF2CC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1"/>
      </font>
      <border>
        <horizontal style="thin">
          <color theme="0" tint="-0.14999847407452621"/>
        </horizontal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 patternType="solid">
          <fgColor theme="0"/>
          <bgColor rgb="FFEAEAEA"/>
        </patternFill>
      </fill>
      <border>
        <left/>
        <right/>
        <top style="thin">
          <color theme="0" tint="-0.14996795556505021"/>
        </top>
        <bottom style="thin">
          <color theme="1"/>
        </bottom>
        <vertical/>
        <horizontal/>
      </border>
    </dxf>
    <dxf>
      <font>
        <b/>
        <i val="0"/>
        <color auto="1"/>
      </font>
      <fill>
        <patternFill>
          <bgColor rgb="FFFFCC9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color theme="1"/>
      </font>
      <border>
        <horizontal style="thin">
          <color theme="0" tint="-0.14999847407452621"/>
        </horizontal>
      </border>
    </dxf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2" defaultTableStyle="TableStyleMedium2" defaultPivotStyle="GTFCC tool">
    <tableStyle name="Flattened Pivot Style" table="0" count="3" xr9:uid="{162DEA34-BB6A-4690-85D7-494055EBA32A}">
      <tableStyleElement type="headerRow" dxfId="215"/>
      <tableStyleElement type="totalRow" dxfId="214"/>
      <tableStyleElement type="secondRowStripe" dxfId="213"/>
    </tableStyle>
    <tableStyle name="GTFCC tool" table="0" count="11" xr9:uid="{E6968C78-9FAF-4431-AD98-140BB1C9C76F}">
      <tableStyleElement type="wholeTable" dxfId="212"/>
      <tableStyleElement type="headerRow" dxfId="211"/>
      <tableStyleElement type="totalRow" dxfId="210"/>
      <tableStyleElement type="firstRowStripe" dxfId="209"/>
      <tableStyleElement type="firstColumnStripe" dxfId="208"/>
      <tableStyleElement type="firstSubtotalRow" dxfId="207"/>
      <tableStyleElement type="secondSubtotalRow" dxfId="206"/>
      <tableStyleElement type="firstRowSubheading" dxfId="205"/>
      <tableStyleElement type="secondRowSubheading" dxfId="204"/>
      <tableStyleElement type="pageFieldLabels" dxfId="203"/>
      <tableStyleElement type="pageFieldValues" dxfId="202"/>
    </tableStyle>
    <tableStyle name="Missing values" table="0" count="12" xr9:uid="{22DCB4E3-CD90-49C6-841A-AD2864E1F3BE}">
      <tableStyleElement type="wholeTable" dxfId="201"/>
      <tableStyleElement type="headerRow" dxfId="200"/>
      <tableStyleElement type="totalRow" dxfId="199"/>
      <tableStyleElement type="firstRowStripe" dxfId="198"/>
      <tableStyleElement type="secondRowStripe" dxfId="197"/>
      <tableStyleElement type="firstColumnStripe" dxfId="196"/>
      <tableStyleElement type="firstSubtotalRow" dxfId="195"/>
      <tableStyleElement type="secondSubtotalRow" dxfId="194"/>
      <tableStyleElement type="firstRowSubheading" dxfId="193"/>
      <tableStyleElement type="secondRowSubheading" dxfId="192"/>
      <tableStyleElement type="pageFieldLabels" dxfId="191"/>
      <tableStyleElement type="pageFieldValues" dxfId="190"/>
    </tableStyle>
    <tableStyle name="Missing values 3" table="0" count="12" xr9:uid="{CE0E1287-A749-4FB3-9778-64C44D93469E}">
      <tableStyleElement type="wholeTable" dxfId="189"/>
      <tableStyleElement type="headerRow" dxfId="188"/>
      <tableStyleElement type="totalRow" dxfId="187"/>
      <tableStyleElement type="firstRowStripe" dxfId="186"/>
      <tableStyleElement type="secondRowStripe" dxfId="185"/>
      <tableStyleElement type="firstColumnStripe" dxfId="184"/>
      <tableStyleElement type="firstSubtotalRow" dxfId="183"/>
      <tableStyleElement type="secondSubtotalRow" dxfId="182"/>
      <tableStyleElement type="firstRowSubheading" dxfId="181"/>
      <tableStyleElement type="secondRowSubheading" dxfId="180"/>
      <tableStyleElement type="pageFieldLabels" dxfId="179"/>
      <tableStyleElement type="pageFieldValues" dxfId="178"/>
    </tableStyle>
    <tableStyle name="Missing values 4" table="0" count="12" xr9:uid="{AC399CBA-3908-4AEF-B694-F7F1332BEA0A}">
      <tableStyleElement type="wholeTable" dxfId="177"/>
      <tableStyleElement type="headerRow" dxfId="176"/>
      <tableStyleElement type="totalRow" dxfId="175"/>
      <tableStyleElement type="firstRowStripe" dxfId="174"/>
      <tableStyleElement type="secondRowStripe" dxfId="173"/>
      <tableStyleElement type="firstColumnStripe" dxfId="172"/>
      <tableStyleElement type="firstSubtotalRow" dxfId="171"/>
      <tableStyleElement type="secondSubtotalRow" dxfId="170"/>
      <tableStyleElement type="firstRowSubheading" dxfId="169"/>
      <tableStyleElement type="secondRowSubheading" dxfId="168"/>
      <tableStyleElement type="pageFieldLabels" dxfId="167"/>
      <tableStyleElement type="pageFieldValues" dxfId="166"/>
    </tableStyle>
    <tableStyle name="Missing values 5" table="0" count="12" xr9:uid="{2CB5D33C-D54C-4EB4-8CF2-07E814E7F21B}">
      <tableStyleElement type="wholeTable" dxfId="165"/>
      <tableStyleElement type="headerRow" dxfId="164"/>
      <tableStyleElement type="totalRow" dxfId="163"/>
      <tableStyleElement type="firstRowStripe" dxfId="162"/>
      <tableStyleElement type="secondRowStripe" dxfId="161"/>
      <tableStyleElement type="firstColumnStripe" dxfId="160"/>
      <tableStyleElement type="firstSubtotalRow" dxfId="159"/>
      <tableStyleElement type="secondSubtotalRow" dxfId="158"/>
      <tableStyleElement type="firstRowSubheading" dxfId="157"/>
      <tableStyleElement type="secondRowSubheading" dxfId="156"/>
      <tableStyleElement type="pageFieldLabels" dxfId="155"/>
      <tableStyleElement type="pageFieldValues" dxfId="154"/>
    </tableStyle>
    <tableStyle name="Missing values 6" table="0" count="12" xr9:uid="{30D44B18-E2F4-4200-896F-1F681F5D6081}">
      <tableStyleElement type="wholeTable" dxfId="153"/>
      <tableStyleElement type="headerRow" dxfId="152"/>
      <tableStyleElement type="totalRow" dxfId="151"/>
      <tableStyleElement type="firstRowStripe" dxfId="150"/>
      <tableStyleElement type="secondRowStripe" dxfId="149"/>
      <tableStyleElement type="firstColumnStripe" dxfId="148"/>
      <tableStyleElement type="firstSubtotalRow" dxfId="147"/>
      <tableStyleElement type="secondSubtotalRow" dxfId="146"/>
      <tableStyleElement type="firstRowSubheading" dxfId="145"/>
      <tableStyleElement type="secondRowSubheading" dxfId="144"/>
      <tableStyleElement type="pageFieldLabels" dxfId="143"/>
      <tableStyleElement type="pageFieldValues" dxfId="142"/>
    </tableStyle>
    <tableStyle name="Missing values 6 2" table="0" count="12" xr9:uid="{48B5DDE3-FD04-4BCA-BEEB-6A28087DF2CB}">
      <tableStyleElement type="wholeTable" dxfId="141"/>
      <tableStyleElement type="headerRow" dxfId="140"/>
      <tableStyleElement type="totalRow" dxfId="139"/>
      <tableStyleElement type="firstRowStripe" dxfId="138"/>
      <tableStyleElement type="secondRowStripe" dxfId="137"/>
      <tableStyleElement type="firstColumnStripe" dxfId="136"/>
      <tableStyleElement type="firstSubtotalRow" dxfId="135"/>
      <tableStyleElement type="secondSubtotalRow" dxfId="134"/>
      <tableStyleElement type="firstRowSubheading" dxfId="133"/>
      <tableStyleElement type="secondRowSubheading" dxfId="132"/>
      <tableStyleElement type="pageFieldLabels" dxfId="131"/>
      <tableStyleElement type="pageFieldValues" dxfId="130"/>
    </tableStyle>
    <tableStyle name="Missing values 6 3" table="0" count="12" xr9:uid="{454A3E91-E7A0-416F-807E-DFF2C87C55E6}">
      <tableStyleElement type="wholeTable" dxfId="129"/>
      <tableStyleElement type="headerRow" dxfId="128"/>
      <tableStyleElement type="totalRow" dxfId="127"/>
      <tableStyleElement type="firstRowStripe" dxfId="126"/>
      <tableStyleElement type="secondRowStripe" dxfId="125"/>
      <tableStyleElement type="firstColumnStripe" dxfId="124"/>
      <tableStyleElement type="firstSubtotalRow" dxfId="123"/>
      <tableStyleElement type="secondSubtotalRow" dxfId="122"/>
      <tableStyleElement type="firstRowSubheading" dxfId="121"/>
      <tableStyleElement type="secondRowSubheading" dxfId="120"/>
      <tableStyleElement type="pageFieldLabels" dxfId="119"/>
      <tableStyleElement type="pageFieldValues" dxfId="118"/>
    </tableStyle>
    <tableStyle name="PivotTable Style 1" table="0" count="1" xr9:uid="{60643D08-0C71-48AA-8D3C-321A1E055D58}">
      <tableStyleElement type="wholeTable" dxfId="117"/>
    </tableStyle>
    <tableStyle name="results" pivot="0" count="9" xr9:uid="{C0D97B90-D44B-4CE0-B696-E3195770E4AC}">
      <tableStyleElement type="wholeTable" dxfId="116"/>
      <tableStyleElement type="headerRow" dxfId="115"/>
      <tableStyleElement type="totalRow" dxfId="114"/>
      <tableStyleElement type="firstColumn" dxfId="113"/>
      <tableStyleElement type="lastColumn" dxfId="112"/>
      <tableStyleElement type="firstRowStripe" dxfId="111"/>
      <tableStyleElement type="secondRowStripe" dxfId="110"/>
      <tableStyleElement type="firstColumnStripe" dxfId="109"/>
      <tableStyleElement type="secondColumnStripe" dxfId="108"/>
    </tableStyle>
    <tableStyle name="results tables" pivot="0" count="9" xr9:uid="{0BAAEDD5-258A-4682-8AEF-83777968FE52}">
      <tableStyleElement type="wholeTable" dxfId="107"/>
      <tableStyleElement type="headerRow" dxfId="106"/>
      <tableStyleElement type="totalRow" dxfId="105"/>
      <tableStyleElement type="firstColumn" dxfId="104"/>
      <tableStyleElement type="lastColumn" dxfId="103"/>
      <tableStyleElement type="firstRowStripe" dxfId="102"/>
      <tableStyleElement type="secondRowStripe" dxfId="101"/>
      <tableStyleElement type="firstColumnStripe" dxfId="100"/>
      <tableStyleElement type="secondColumnStripe" dxfId="99"/>
    </tableStyle>
  </tableStyles>
  <colors>
    <mruColors>
      <color rgb="FF009999"/>
      <color rgb="FF83D9D7"/>
      <color rgb="FFB8E9E8"/>
      <color rgb="FFA1ECE8"/>
      <color rgb="FF008080"/>
      <color rgb="FFFB8072"/>
      <color rgb="FFFFF2CC"/>
      <color rgb="FFF7E9D4"/>
      <color rgb="FF9BCD9A"/>
      <color rgb="FFFBD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Relationship Id="rId22" Type="http://schemas.openxmlformats.org/officeDocument/2006/relationships/customXml" Target="../customXml/item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6887733</xdr:colOff>
      <xdr:row>1</xdr:row>
      <xdr:rowOff>20204</xdr:rowOff>
    </xdr:from>
    <xdr:to>
      <xdr:col>2</xdr:col>
      <xdr:colOff>13138727</xdr:colOff>
      <xdr:row>6</xdr:row>
      <xdr:rowOff>131681</xdr:rowOff>
    </xdr:to>
    <xdr:pic>
      <xdr:nvPicPr>
        <xdr:cNvPr id="2" name="officeArt object" descr="Une image contenant texte&#10;&#10;Description générée automatiquement">
          <a:extLst>
            <a:ext uri="{FF2B5EF4-FFF2-40B4-BE49-F238E27FC236}">
              <a16:creationId xmlns:a16="http://schemas.microsoft.com/office/drawing/2014/main" id="{EC146D19-AAC6-BEE1-A04C-5A1BAC55389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3483" y="210704"/>
          <a:ext cx="6250994" cy="10639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1510393</xdr:colOff>
      <xdr:row>4</xdr:row>
      <xdr:rowOff>176893</xdr:rowOff>
    </xdr:from>
    <xdr:to>
      <xdr:col>6</xdr:col>
      <xdr:colOff>622424</xdr:colOff>
      <xdr:row>4</xdr:row>
      <xdr:rowOff>4144235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BF74B03-2252-A15B-6EE0-76A15B2DE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1143" y="1156607"/>
          <a:ext cx="6949745" cy="396734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. Sudre" refreshedDate="45211.740397453701" createdVersion="8" refreshedVersion="8" minRefreshableVersion="3" recordCount="100" xr:uid="{ED20BDD1-B0A7-48D4-A840-47AC63AA36CB}">
  <cacheSource type="worksheet">
    <worksheetSource name="working_table"/>
  </cacheSource>
  <cacheFields count="24">
    <cacheField name="unique_id" numFmtId="0">
      <sharedItems/>
    </cacheField>
    <cacheField name="admin_1" numFmtId="0">
      <sharedItems/>
    </cacheField>
    <cacheField name="admin_2" numFmtId="0">
      <sharedItems/>
    </cacheField>
    <cacheField name="pop" numFmtId="0">
      <sharedItems/>
    </cacheField>
    <cacheField name="VF_01_chol_otbk" numFmtId="0">
      <sharedItems/>
    </cacheField>
    <cacheField name="VF_02_chol_import" numFmtId="0">
      <sharedItems/>
    </cacheField>
    <cacheField name="VF_03_chol_proximity" numFmtId="0">
      <sharedItems/>
    </cacheField>
    <cacheField name="VF_04_mov_pathw" numFmtId="0">
      <sharedItems/>
    </cacheField>
    <cacheField name="VF_05_pop_gathering" numFmtId="0">
      <sharedItems/>
    </cacheField>
    <cacheField name="VF_06_overcrowded_set" numFmtId="0">
      <sharedItems/>
    </cacheField>
    <cacheField name="VF_07_high_risk_pop" numFmtId="0">
      <sharedItems/>
    </cacheField>
    <cacheField name="VF_08_hard_to_acc_risk_pop" numFmtId="0">
      <sharedItems/>
    </cacheField>
    <cacheField name="VF_09_ocv" numFmtId="0">
      <sharedItems/>
    </cacheField>
    <cacheField name="VF_10_climate_event" numFmtId="0">
      <sharedItems/>
    </cacheField>
    <cacheField name="VF_11_comp_humanit_emerg" numFmtId="0">
      <sharedItems/>
    </cacheField>
    <cacheField name="VF_12_unimprov_water" numFmtId="0">
      <sharedItems/>
    </cacheField>
    <cacheField name="VF_13_unimprov_sanitat" numFmtId="0">
      <sharedItems/>
    </cacheField>
    <cacheField name="VF_14_limited_hygien" numFmtId="0">
      <sharedItems/>
    </cacheField>
    <cacheField name="VF_15_add_factor_1" numFmtId="0">
      <sharedItems/>
    </cacheField>
    <cacheField name="VF_16_add_factor_2" numFmtId="0">
      <sharedItems/>
    </cacheField>
    <cacheField name="VF_17_add_factor_3" numFmtId="0">
      <sharedItems/>
    </cacheField>
    <cacheField name="VF_18_add_factor_4" numFmtId="0">
      <sharedItems/>
    </cacheField>
    <cacheField name="Number_of_missing_values" numFmtId="0">
      <sharedItems containsSemiMixedTypes="0" containsString="0" containsNumber="1" containsInteger="1" minValue="0" maxValue="0"/>
    </cacheField>
    <cacheField name="Priority_index" numFmtId="1">
      <sharedItems containsMixedTypes="1" containsNumber="1" minValue="0" maxValue="18.5" count="26">
        <e v="#REF!"/>
        <n v="0" u="1"/>
        <n v="2" u="1"/>
        <n v="1" u="1"/>
        <n v="3" u="1"/>
        <n v="8" u="1"/>
        <n v="4" u="1"/>
        <n v="5" u="1"/>
        <n v="6" u="1"/>
        <n v="7" u="1"/>
        <n v="12.5" u="1"/>
        <n v="4.5" u="1"/>
        <n v="13" u="1"/>
        <n v="13.5" u="1"/>
        <n v="14" u="1"/>
        <n v="14.5" u="1"/>
        <n v="6.5" u="1"/>
        <n v="2.5" u="1"/>
        <n v="7.5" u="1"/>
        <n v="8.5" u="1"/>
        <n v="9" u="1"/>
        <n v="10.5" u="1"/>
        <n v="11" u="1"/>
        <n v="18.5" u="1"/>
        <n v="1.5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3A513A-2E6D-44FF-99D1-0CAFFBF040F8}" name="Priority index values" cacheId="0" applyNumberFormats="0" applyBorderFormats="0" applyFontFormats="0" applyPatternFormats="0" applyAlignmentFormats="0" applyWidthHeightFormats="1" dataCaption="Values" errorCaption="NA" showError="1" updatedVersion="8" minRefreshableVersion="3" showDrill="0" itemPrintTitles="1" createdVersion="8" indent="0" outline="1" outlineData="1" multipleFieldFilters="0" rowHeaderCaption="Vulnerability index values" fieldListSortAscending="1">
  <location ref="B6:I8" firstHeaderRow="0" firstDataRow="1" firstDataCol="1"/>
  <pivotFields count="24"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numFmtId="1" showAll="0" sortType="descending">
      <items count="27">
        <item x="0"/>
        <item m="1" x="23"/>
        <item m="1" x="15"/>
        <item m="1" x="14"/>
        <item m="1" x="13"/>
        <item m="1" x="12"/>
        <item m="1" x="10"/>
        <item m="1" x="25"/>
        <item m="1" x="22"/>
        <item m="1" x="21"/>
        <item m="1" x="20"/>
        <item m="1" x="19"/>
        <item m="1" x="5"/>
        <item m="1" x="18"/>
        <item m="1" x="9"/>
        <item m="1" x="16"/>
        <item m="1" x="8"/>
        <item m="1" x="7"/>
        <item m="1" x="11"/>
        <item m="1" x="6"/>
        <item m="1" x="4"/>
        <item m="1" x="17"/>
        <item m="1" x="2"/>
        <item m="1" x="24"/>
        <item m="1" x="3"/>
        <item m="1" x="1"/>
        <item t="default"/>
      </items>
    </pivotField>
  </pivotFields>
  <rowFields count="1">
    <field x="23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Number of geographic units" fld="0" subtotal="count" baseField="22" baseItem="7"/>
    <dataField name="Cum. number of geographic units" fld="0" subtotal="count" showDataAs="runTotal" baseField="23" baseItem="0"/>
    <dataField name="Rel. % of the num. of geographic units" fld="0" subtotal="count" showDataAs="percentOfCol" baseField="22" baseItem="8" numFmtId="164"/>
    <dataField name="Cum. % of the num. of geographic units" fld="0" subtotal="count" baseField="23" baseItem="0" numFmtId="10">
      <extLst>
        <ext xmlns:x14="http://schemas.microsoft.com/office/spreadsheetml/2009/9/main" uri="{E15A36E0-9728-4e99-A89B-3F7291B0FE68}">
          <x14:dataField pivotShowAs="percentOfRunningTotal"/>
        </ext>
      </extLst>
    </dataField>
    <dataField name="Total population" fld="3" baseField="22" baseItem="0" numFmtId="3"/>
    <dataField name="Rel. % of total population" fld="3" showDataAs="percentOfCol" baseField="22" baseItem="5" numFmtId="10"/>
    <dataField name="Cum. % of total population " fld="3" baseField="23" baseItem="1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formats count="13">
    <format dxfId="62">
      <pivotArea collapsedLevelsAreSubtotals="1" fieldPosition="0">
        <references count="2">
          <reference field="4294967294" count="1" selected="0">
            <x v="2"/>
          </reference>
          <reference field="23" count="0"/>
        </references>
      </pivotArea>
    </format>
    <format dxfId="61">
      <pivotArea collapsedLevelsAreSubtotals="1" fieldPosition="0">
        <references count="2">
          <reference field="4294967294" count="1" selected="0">
            <x v="5"/>
          </reference>
          <reference field="23" count="0"/>
        </references>
      </pivotArea>
    </format>
    <format dxfId="60">
      <pivotArea grandRow="1" outline="0" collapsedLevelsAreSubtotals="1" fieldPosition="0"/>
    </format>
    <format dxfId="59">
      <pivotArea dataOnly="0" labelOnly="1" grandRow="1" outline="0" fieldPosition="0"/>
    </format>
    <format dxfId="58">
      <pivotArea field="23" type="button" dataOnly="0" labelOnly="1" outline="0" axis="axisRow" fieldPosition="0"/>
    </format>
    <format dxfId="5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6">
      <pivotArea field="23" type="button" dataOnly="0" labelOnly="1" outline="0" axis="axisRow" fieldPosition="0"/>
    </format>
    <format dxfId="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">
      <pivotArea field="23" type="button" dataOnly="0" labelOnly="1" outline="0" axis="axisRow" fieldPosition="0"/>
    </format>
    <format dxfId="5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2">
      <pivotArea collapsedLevelsAreSubtotals="1" fieldPosition="0">
        <references count="2">
          <reference field="4294967294" count="1" selected="0">
            <x v="3"/>
          </reference>
          <reference field="23" count="0"/>
        </references>
      </pivotArea>
    </format>
    <format dxfId="51">
      <pivotArea collapsedLevelsAreSubtotals="1" fieldPosition="0">
        <references count="2">
          <reference field="4294967294" count="2" selected="0">
            <x v="5"/>
            <x v="6"/>
          </reference>
          <reference field="23" count="0"/>
        </references>
      </pivotArea>
    </format>
    <format dxfId="50">
      <pivotArea dataOnly="0" labelOnly="1" fieldPosition="0">
        <references count="1">
          <reference field="23" count="0"/>
        </references>
      </pivotArea>
    </format>
  </formats>
  <conditionalFormats count="2">
    <conditionalFormat scope="field" priority="2">
      <pivotAreas count="1">
        <pivotArea outline="0" collapsedLevelsAreSubtotals="1" fieldPosition="0">
          <references count="2">
            <reference field="4294967294" count="1" selected="0">
              <x v="2"/>
            </reference>
            <reference field="23" count="0" selected="0"/>
          </references>
        </pivotArea>
      </pivotAreas>
    </conditionalFormat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5"/>
            </reference>
            <reference field="23" count="0" selected="0"/>
          </references>
        </pivotArea>
      </pivotAreas>
    </conditionalFormat>
  </conditionalFormats>
  <pivotTableStyleInfo name="Missing values 6 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connectionId="1" xr16:uid="{62A91256-A534-480B-B46A-33F2AA7D4279}" autoFormatId="16" applyNumberFormats="0" applyBorderFormats="0" applyFontFormats="0" applyPatternFormats="0" applyAlignmentFormats="0" applyWidthHeightFormats="0">
  <queryTableRefresh nextId="26">
    <queryTableFields count="24">
      <queryTableField id="1" name="unique_id" tableColumnId="1"/>
      <queryTableField id="2" name="admin_1" tableColumnId="2"/>
      <queryTableField id="3" name="admin_2" tableColumnId="3"/>
      <queryTableField id="4" name="pop" tableColumnId="4"/>
      <queryTableField id="5" name="VF_01_chol_otbk" tableColumnId="5"/>
      <queryTableField id="6" name="VF_02_chol_import" tableColumnId="6"/>
      <queryTableField id="7" name="VF_03_chol_proximity" tableColumnId="7"/>
      <queryTableField id="8" name="VF_04_mov_pathw" tableColumnId="8"/>
      <queryTableField id="9" name="VF_05_pop_gathering" tableColumnId="9"/>
      <queryTableField id="10" name="VF_06_overcrowded_set" tableColumnId="10"/>
      <queryTableField id="11" name="VF_07_high_risk_pop" tableColumnId="11"/>
      <queryTableField id="12" name="VF_08_hard_to_acc_risk_pop" tableColumnId="12"/>
      <queryTableField id="13" name="VF_09_ocv" tableColumnId="13"/>
      <queryTableField id="14" name="VF_10_climate_event" tableColumnId="14"/>
      <queryTableField id="15" name="VF_11_comp_humanit_emerg" tableColumnId="15"/>
      <queryTableField id="16" name="VF_12_unimprov_water" tableColumnId="16"/>
      <queryTableField id="17" name="VF_13_unimprov_sanitat" tableColumnId="17"/>
      <queryTableField id="18" name="VF_14_limited_hygien" tableColumnId="18"/>
      <queryTableField id="19" name="VF_15_add_factor_1" tableColumnId="19"/>
      <queryTableField id="20" name="VF_16_add_factor_2" tableColumnId="20"/>
      <queryTableField id="21" name="VF_17_add_factor_3" tableColumnId="21"/>
      <queryTableField id="22" name="VF_18_add_factor_4" tableColumnId="22"/>
      <queryTableField id="24" name="Number_of_missing_values" tableColumnId="24"/>
      <queryTableField id="23" name="Priority_index" tableColumnId="23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167007-E05C-4642-B76F-DC6D00C17426}" name="data_inputs" displayName="data_inputs" ref="A1:A2" totalsRowShown="0" headerRowDxfId="98" headerRowCellStyle="Normal" dataCellStyle="Normal">
  <tableColumns count="1">
    <tableColumn id="1" xr3:uid="{925583FC-A0E6-47F2-8DBE-3A7CF7EA0FE6}" name="Paste data here (as values only)" dataCellStyle="Norma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429E05-EEE1-4FFF-8984-06C706699196}" name="working_table" displayName="working_table" ref="A1:X2" totalsRowShown="0" headerRowDxfId="90" dataDxfId="88" headerRowBorderDxfId="89" tableBorderDxfId="87" headerRowCellStyle="Normal" dataCellStyle="Normal">
  <autoFilter ref="A1:X2" xr:uid="{15429E05-EEE1-4FFF-8984-06C7066991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8C6EB96E-EFE7-4775-8FA1-985F07C8F881}" name="unique_id" dataDxfId="86" dataCellStyle="Normal">
      <calculatedColumnFormula array="1">INDIRECT(_0_uniq_id)</calculatedColumnFormula>
    </tableColumn>
    <tableColumn id="2" xr3:uid="{6D21BE09-B26B-4300-BF73-CE94A4DF557D}" name="admin_1" dataDxfId="85" dataCellStyle="Normal">
      <calculatedColumnFormula array="1">INDIRECT(_1_adi_1)</calculatedColumnFormula>
    </tableColumn>
    <tableColumn id="3" xr3:uid="{E4FE6733-4457-4E9B-9DA5-F86B88DCB1E9}" name="admin_2" dataDxfId="84" dataCellStyle="Normal">
      <calculatedColumnFormula array="1">INDIRECT(_2_adi_2)</calculatedColumnFormula>
    </tableColumn>
    <tableColumn id="4" xr3:uid="{693645EA-5DB4-4AE7-8E33-5DCF761B45CA}" name="pop" dataDxfId="83" dataCellStyle="Normal">
      <calculatedColumnFormula array="1">INDIRECT(_3_pop)</calculatedColumnFormula>
    </tableColumn>
    <tableColumn id="23" xr3:uid="{1B2C25BC-6430-4AC3-8E60-2FA1C77D184F}" name="VF_01_chol_otbk" dataDxfId="82" dataCellStyle="Normal">
      <calculatedColumnFormula array="1">INDIRECT(_q01)</calculatedColumnFormula>
    </tableColumn>
    <tableColumn id="24" xr3:uid="{5179492D-F10E-468F-99FF-E2C844C2D9A2}" name="VF_02_chol_import" dataDxfId="81" dataCellStyle="Normal">
      <calculatedColumnFormula array="1">INDIRECT(_q02)</calculatedColumnFormula>
    </tableColumn>
    <tableColumn id="25" xr3:uid="{906FFEBF-113B-42FB-BF03-C66A66843E58}" name="VF_03_chol_proximity" dataDxfId="80" dataCellStyle="Normal">
      <calculatedColumnFormula array="1">INDIRECT(_q03)</calculatedColumnFormula>
    </tableColumn>
    <tableColumn id="26" xr3:uid="{4A1207F3-E0BA-4AD8-A256-615940569554}" name="VF_04_mov_pathw" dataDxfId="79" dataCellStyle="Normal">
      <calculatedColumnFormula array="1">INDIRECT(_q04)</calculatedColumnFormula>
    </tableColumn>
    <tableColumn id="27" xr3:uid="{065BBD48-2991-4002-BA24-6FBE8367850E}" name="VF_05_pop_gathering" dataDxfId="78" dataCellStyle="Normal">
      <calculatedColumnFormula array="1">INDIRECT(_q05)</calculatedColumnFormula>
    </tableColumn>
    <tableColumn id="28" xr3:uid="{8A760CDF-7008-4597-8438-11CF150C537C}" name="VF_06_overcrowded_set" dataDxfId="77" dataCellStyle="Normal">
      <calculatedColumnFormula array="1">INDIRECT(_q06)</calculatedColumnFormula>
    </tableColumn>
    <tableColumn id="29" xr3:uid="{B16A6905-9565-4BD9-A259-19F25F9F870B}" name="VF_07_high_risk_pop" dataDxfId="76" dataCellStyle="Normal">
      <calculatedColumnFormula array="1">INDIRECT(_q07)</calculatedColumnFormula>
    </tableColumn>
    <tableColumn id="30" xr3:uid="{A7679313-6C0B-41E6-AB96-9D7E1FCDF9E7}" name="VF_08_hard_to_acc_risk_pop" dataDxfId="75" dataCellStyle="Normal">
      <calculatedColumnFormula array="1">INDIRECT(_q08)</calculatedColumnFormula>
    </tableColumn>
    <tableColumn id="12" xr3:uid="{ACA174BC-64B3-4811-A5F5-43A6736FF03B}" name="VF_09_ocv" dataDxfId="74">
      <calculatedColumnFormula array="1">INDIRECT(_q09)</calculatedColumnFormula>
    </tableColumn>
    <tableColumn id="11" xr3:uid="{480C5FBB-1005-4C65-BB14-534A308C234D}" name="VF_10_climate_event" dataDxfId="73">
      <calculatedColumnFormula array="1">INDIRECT(_q10)</calculatedColumnFormula>
    </tableColumn>
    <tableColumn id="10" xr3:uid="{04381652-2922-4BBC-8CAD-16A3BB8AA654}" name="VF_11_comp_humanit_emerg" dataDxfId="72">
      <calculatedColumnFormula array="1">INDIRECT(_q11)</calculatedColumnFormula>
    </tableColumn>
    <tableColumn id="9" xr3:uid="{D7D32647-B74A-461F-924E-E8A44D0D76E3}" name="VF_12_unimprov_water" dataDxfId="71">
      <calculatedColumnFormula array="1">INDIRECT(_q12)</calculatedColumnFormula>
    </tableColumn>
    <tableColumn id="14" xr3:uid="{D5A8538B-B1D1-433D-BD19-A063A806344B}" name="VF_13_unimprov_sanitat" dataDxfId="70">
      <calculatedColumnFormula array="1">INDIRECT(_q13)</calculatedColumnFormula>
    </tableColumn>
    <tableColumn id="7" xr3:uid="{36B77A99-A716-4CAE-AFD6-A42861C2AAD4}" name="VF_14_limited_hygien" dataDxfId="69">
      <calculatedColumnFormula array="1">INDIRECT(_q14)</calculatedColumnFormula>
    </tableColumn>
    <tableColumn id="33" xr3:uid="{75549BC9-AD5A-4BC0-8A4E-98DC7865E0A8}" name="VF_15_add_factor_1" dataDxfId="68">
      <calculatedColumnFormula array="1">INDIRECT(_q15)</calculatedColumnFormula>
    </tableColumn>
    <tableColumn id="32" xr3:uid="{390011CE-03A5-4F9A-A11B-F2FD8BC011C5}" name="VF_16_add_factor_2" dataDxfId="67">
      <calculatedColumnFormula array="1">INDIRECT(_q16)</calculatedColumnFormula>
    </tableColumn>
    <tableColumn id="31" xr3:uid="{254E2C51-033C-4570-88A6-DAC4C3A53FD3}" name="VF_17_add_factor_3" dataDxfId="66">
      <calculatedColumnFormula array="1">INDIRECT(_q17)</calculatedColumnFormula>
    </tableColumn>
    <tableColumn id="21" xr3:uid="{E3981F6C-5AE2-4F65-A1AA-1CC85A671A46}" name="VF_18_add_factor_4" dataDxfId="65">
      <calculatedColumnFormula array="1">INDIRECT(_q18)</calculatedColumnFormula>
    </tableColumn>
    <tableColumn id="5" xr3:uid="{5971B8B9-FAA4-405E-A4F5-B6779E7C9DDD}" name="Number_of_missing_values" dataDxfId="64">
      <calculatedColumnFormula>COUNTIF(working_table[[#This Row],[VF_01_chol_otbk]:[VF_18_add_factor_4]],"Missing_value")</calculatedColumnFormula>
    </tableColumn>
    <tableColumn id="22" xr3:uid="{FCE7BE05-05AF-4D41-ADCC-0333D07D197E}" name="Priority_index" dataDxfId="63" dataCellStyle="Normal">
      <calculatedColumnFormula>IF(working_table[[#This Row],[VF_01_chol_otbk]]= "Yes", "Initial PAMI",
IF('─&gt; Factor selection'!$I$8="Included in the vulnerability index", IF(working_table[[#This Row],[VF_02_chol_import]]="Yes", 1*'─&gt; Factor selection'!$G$8, 0),0) +
IF('─&gt; Factor selection'!$I$9="Included in the vulnerability index", IF(working_table[[#This Row],[VF_03_chol_proximity]]="Yes", 1*'─&gt; Factor selection'!$G$9, 0),0) +
IF('─&gt; Factor selection'!$I$10="Included in the vulnerability index", IF(working_table[[#This Row],[VF_04_mov_pathw]]="Yes", 1*'─&gt; Factor selection'!$G$10, 0),0) +
IF('─&gt; Factor selection'!$I$11="Included in the vulnerability index", IF(working_table[[#This Row],[VF_05_pop_gathering]]="Yes", 1*'─&gt; Factor selection'!$G$11, 0),0) +
IF('─&gt; Factor selection'!$I$12="Included in the vulnerability index", IF(working_table[[#This Row],[VF_06_overcrowded_set]]="Yes", 1*'─&gt; Factor selection'!$G$12, 0),0) +
IF('─&gt; Factor selection'!$I$13="Included in the vulnerability index", IF(working_table[[#This Row],[VF_07_high_risk_pop]]="Yes", 1*'─&gt; Factor selection'!$G$13, 0),0) +
IF('─&gt; Factor selection'!$I$14="Included in the vulnerability index", IF(working_table[[#This Row],[VF_08_hard_to_acc_risk_pop]]="Yes", 1*'─&gt; Factor selection'!$G$14, 0),0) +
IF('─&gt; Factor selection'!$I$15="Included in the vulnerability index", IF(working_table[[#This Row],[VF_09_ocv]]="Yes", 1*'─&gt; Factor selection'!$G$15, 0),0) +
IF('─&gt; Factor selection'!$I$16="Included in the vulnerability index", IF(working_table[[#This Row],[VF_10_climate_event]]="Yes", 1*'─&gt; Factor selection'!$G$16, 0),0) +
IF('─&gt; Factor selection'!$I$17="Included in the vulnerability index", IF(working_table[[#This Row],[VF_11_comp_humanit_emerg]]="Yes", 1*'─&gt; Factor selection'!$G$17, 0),0) +
IF('─&gt; Factor selection'!$I$18="Included in the vulnerability index", IF(working_table[[#This Row],[VF_12_unimprov_water]]="Yes", 1*'─&gt; Factor selection'!$G$18, 0),0) +
IF('─&gt; Factor selection'!$I$19="Included in the vulnerability index", IF(working_table[[#This Row],[VF_13_unimprov_sanitat]]="Yes", 1*'─&gt; Factor selection'!$G$19, 0),0) +
IF('─&gt; Factor selection'!$I$20="Included in the vulnerability index", IF(working_table[[#This Row],[VF_14_limited_hygien]]="Yes", 1*'─&gt; Factor selection'!$G$20, 0),0) +
IF('─&gt; Factor selection'!$I$21="Included in the vulnerability index", IF(working_table[[#This Row],[VF_15_add_factor_1]]="Yes", 1*'─&gt; Factor selection'!$G$21, 0),0) +
IF('─&gt; Factor selection'!$I$22="Included in the vulnerability index", IF(working_table[[#This Row],[VF_16_add_factor_2]]="Yes", 1*'─&gt; Factor selection'!$G$22, 0),0) +
IF('─&gt; Factor selection'!$I$23="Included in the vulnerability index", IF(working_table[[#This Row],[VF_17_add_factor_3]]="Yes", 1*'─&gt; Factor selection'!$G$23, 0),0) +
IF('─&gt; Factor selection'!$I$24="Included in the vulnerability index", IF(working_table[[#This Row],[VF_18_add_factor_4]]="Yes", 1*'─&gt; Factor selection'!$G$24, 0),0))</calculatedColumnFormula>
    </tableColumn>
  </tableColumns>
  <tableStyleInfo name="result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3A9DC9B-0554-40CA-ACAC-F0F553AB596A}" name="table_working_table" displayName="table_working_table" ref="A1:X2" tableType="queryTable" totalsRowShown="0" headerRowDxfId="25" headerRowBorderDxfId="24">
  <autoFilter ref="A1:X2" xr:uid="{73A9DC9B-0554-40CA-ACAC-F0F553AB596A}"/>
  <sortState xmlns:xlrd2="http://schemas.microsoft.com/office/spreadsheetml/2017/richdata2" ref="A2:X101">
    <sortCondition descending="1" ref="X1:X101"/>
  </sortState>
  <tableColumns count="24">
    <tableColumn id="1" xr3:uid="{B5A8A693-0241-40D0-BE75-E6B83C5891EF}" uniqueName="1" name="unique_id" queryTableFieldId="1" dataDxfId="23"/>
    <tableColumn id="2" xr3:uid="{827FCA62-92F0-42AB-9D7C-2C7E5E9002E4}" uniqueName="2" name="admin_1" queryTableFieldId="2" dataDxfId="22"/>
    <tableColumn id="3" xr3:uid="{67D9F121-BB3A-4F48-BE3F-000C46BA828C}" uniqueName="3" name="admin_2" queryTableFieldId="3" dataDxfId="21"/>
    <tableColumn id="4" xr3:uid="{F9FCEA23-35AE-4999-962E-97A384F5ACB7}" uniqueName="4" name="pop" queryTableFieldId="4" dataDxfId="20"/>
    <tableColumn id="5" xr3:uid="{3476DD06-A982-4534-8197-2CA08FBC5F7A}" uniqueName="5" name="VF_01_chol_otbk" queryTableFieldId="5" dataDxfId="19"/>
    <tableColumn id="6" xr3:uid="{0BC81E6B-CC4C-4A3A-A822-CD84F33F5D25}" uniqueName="6" name="VF_02_chol_import" queryTableFieldId="6" dataDxfId="18"/>
    <tableColumn id="7" xr3:uid="{3E536C75-4533-474D-9D6F-DFDC25C2AAFC}" uniqueName="7" name="VF_03_chol_proximity" queryTableFieldId="7" dataDxfId="17"/>
    <tableColumn id="8" xr3:uid="{81D51CDC-F897-4985-8F32-5656B0E72565}" uniqueName="8" name="VF_04_mov_pathw" queryTableFieldId="8" dataDxfId="16"/>
    <tableColumn id="9" xr3:uid="{992FE67B-4EEE-4A98-ACAE-4C4F04DF2F19}" uniqueName="9" name="VF_05_pop_gathering" queryTableFieldId="9" dataDxfId="15"/>
    <tableColumn id="10" xr3:uid="{F38831F4-9A14-4D43-8C13-8F2E7B937B46}" uniqueName="10" name="VF_06_overcrowded_set" queryTableFieldId="10" dataDxfId="14"/>
    <tableColumn id="11" xr3:uid="{B014F7AF-615C-4A50-A584-900926EE34B5}" uniqueName="11" name="VF_07_high_risk_pop" queryTableFieldId="11" dataDxfId="13"/>
    <tableColumn id="12" xr3:uid="{458D7A21-05DD-47C4-9AB5-9A12E6FF9A2F}" uniqueName="12" name="VF_08_hard_to_acc_risk_pop" queryTableFieldId="12" dataDxfId="12"/>
    <tableColumn id="13" xr3:uid="{2F6D55DE-9833-4B2C-9416-E65E6690243C}" uniqueName="13" name="VF_09_ocv" queryTableFieldId="13" dataDxfId="11"/>
    <tableColumn id="14" xr3:uid="{E069FCAF-E99D-4C4E-B9DD-CF430D120043}" uniqueName="14" name="VF_10_climate_event" queryTableFieldId="14" dataDxfId="10"/>
    <tableColumn id="15" xr3:uid="{66780E6E-2C4D-47D5-BFF3-E5D12AFA573E}" uniqueName="15" name="VF_11_comp_humanit_emerg" queryTableFieldId="15" dataDxfId="9"/>
    <tableColumn id="16" xr3:uid="{D3A85FDD-510D-415D-BFA7-2168124EA98A}" uniqueName="16" name="VF_12_unimprov_water" queryTableFieldId="16" dataDxfId="8"/>
    <tableColumn id="17" xr3:uid="{F75C0318-B433-48E4-8CC0-9ED9B523C413}" uniqueName="17" name="VF_13_unimprov_sanitat" queryTableFieldId="17" dataDxfId="7"/>
    <tableColumn id="18" xr3:uid="{5863060E-56E8-4D5A-A642-CC6DFE499C1C}" uniqueName="18" name="VF_14_limited_hygien" queryTableFieldId="18" dataDxfId="6"/>
    <tableColumn id="19" xr3:uid="{A5BB2130-24CA-49A2-8467-1004C9B7A927}" uniqueName="19" name="VF_15_add_factor_1" queryTableFieldId="19" dataDxfId="5"/>
    <tableColumn id="20" xr3:uid="{27E12F90-89A0-4587-87AC-942FF0B64D1B}" uniqueName="20" name="VF_16_add_factor_2" queryTableFieldId="20" dataDxfId="4"/>
    <tableColumn id="21" xr3:uid="{014E8959-BFEA-4117-857E-7AD79AB1F4C8}" uniqueName="21" name="VF_17_add_factor_3" queryTableFieldId="21" dataDxfId="3"/>
    <tableColumn id="22" xr3:uid="{8E50E78B-637E-46F6-82D9-C1E769D118D7}" uniqueName="22" name="VF_18_add_factor_4" queryTableFieldId="22" dataDxfId="2"/>
    <tableColumn id="24" xr3:uid="{AD2ED593-E9BB-4EE4-8936-32950549DE95}" uniqueName="24" name="Number_of_missing_values" queryTableFieldId="24" dataDxfId="1"/>
    <tableColumn id="23" xr3:uid="{BD433306-E475-448D-AC3E-37112AD5BFDA}" uniqueName="23" name="Vulnerability_index" queryTableFieldId="23" dataDxfId="0"/>
  </tableColumns>
  <tableStyleInfo name="result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tfcc.org/wp-content/uploads/2023/10/2023-gtfcc-pami-cholera-elimination-user-guide-en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gtfcc.org/wp-content/uploads/2023/10/2023-gtfcc-pami-cholera-elimination-guidance-en.pdf" TargetMode="External"/><Relationship Id="rId1" Type="http://schemas.openxmlformats.org/officeDocument/2006/relationships/hyperlink" Target="mailto:gtfccsecretariat@who.in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tfcc.org/wp-content/uploads/2023/10/2023-gtfcc-pami-cholera-elimination-training-dataset-en.xlsx" TargetMode="External"/><Relationship Id="rId4" Type="http://schemas.openxmlformats.org/officeDocument/2006/relationships/hyperlink" Target="https://www.gtfcc.org/wp-content/uploads/2023/10/2023-gtfcc-pami-cholera-elimination-input-dataset-template-en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315A-908D-4E62-88D0-4ECFBAA04F12}">
  <sheetPr>
    <tabColor rgb="FFFFFFCC"/>
  </sheetPr>
  <dimension ref="B9:E45"/>
  <sheetViews>
    <sheetView showGridLines="0" showRowColHeaders="0" zoomScale="65" zoomScaleNormal="65" workbookViewId="0"/>
  </sheetViews>
  <sheetFormatPr defaultColWidth="10.7265625" defaultRowHeight="14.5" x14ac:dyDescent="0.35"/>
  <cols>
    <col min="1" max="1" width="11.7265625" style="4" customWidth="1"/>
    <col min="2" max="2" width="11.7265625" style="15" customWidth="1"/>
    <col min="3" max="3" width="200.7265625" style="4" customWidth="1"/>
    <col min="4" max="4" width="5.7265625" style="15" customWidth="1"/>
    <col min="5" max="5" width="100.453125" style="4" customWidth="1"/>
    <col min="6" max="16384" width="10.7265625" style="4"/>
  </cols>
  <sheetData>
    <row r="9" spans="2:5" ht="75" customHeight="1" x14ac:dyDescent="0.35">
      <c r="B9" s="130" t="s">
        <v>0</v>
      </c>
      <c r="C9" s="131"/>
      <c r="D9" s="131"/>
      <c r="E9" s="132"/>
    </row>
    <row r="10" spans="2:5" ht="7.5" customHeight="1" x14ac:dyDescent="0.45">
      <c r="B10" s="17"/>
      <c r="C10" s="17"/>
      <c r="D10" s="18"/>
      <c r="E10" s="7"/>
    </row>
    <row r="11" spans="2:5" ht="18.5" x14ac:dyDescent="0.45">
      <c r="B11" s="69"/>
      <c r="C11" s="70"/>
      <c r="D11" s="71"/>
      <c r="E11" s="89" t="s">
        <v>1</v>
      </c>
    </row>
    <row r="12" spans="2:5" ht="37.5" customHeight="1" x14ac:dyDescent="0.35">
      <c r="B12" s="136" t="s">
        <v>2</v>
      </c>
      <c r="C12" s="137"/>
      <c r="D12" s="72"/>
      <c r="E12" s="73" t="s">
        <v>3</v>
      </c>
    </row>
    <row r="13" spans="2:5" ht="18.5" x14ac:dyDescent="0.35">
      <c r="B13" s="133" t="s">
        <v>4</v>
      </c>
      <c r="C13" s="134"/>
      <c r="D13" s="74"/>
      <c r="E13" s="73" t="s">
        <v>5</v>
      </c>
    </row>
    <row r="14" spans="2:5" ht="18.5" x14ac:dyDescent="0.35">
      <c r="B14" s="133" t="s">
        <v>6</v>
      </c>
      <c r="C14" s="135"/>
      <c r="D14" s="72"/>
      <c r="E14" s="73" t="s">
        <v>7</v>
      </c>
    </row>
    <row r="15" spans="2:5" ht="18.5" x14ac:dyDescent="0.35">
      <c r="B15" s="133" t="s">
        <v>8</v>
      </c>
      <c r="C15" s="135"/>
      <c r="D15" s="72"/>
      <c r="E15" s="73" t="s">
        <v>9</v>
      </c>
    </row>
    <row r="16" spans="2:5" ht="18.5" x14ac:dyDescent="0.35">
      <c r="B16" s="147" t="s">
        <v>10</v>
      </c>
      <c r="C16" s="148"/>
      <c r="D16" s="72"/>
      <c r="E16" s="73" t="s">
        <v>11</v>
      </c>
    </row>
    <row r="17" spans="2:5" ht="7.5" customHeight="1" x14ac:dyDescent="0.35">
      <c r="B17" s="138"/>
      <c r="C17" s="139"/>
      <c r="D17" s="140"/>
      <c r="E17" s="6"/>
    </row>
    <row r="18" spans="2:5" ht="27" customHeight="1" x14ac:dyDescent="0.35">
      <c r="B18" s="149" t="s">
        <v>12</v>
      </c>
      <c r="C18" s="150"/>
      <c r="D18" s="150"/>
      <c r="E18" s="151"/>
    </row>
    <row r="19" spans="2:5" ht="7.5" customHeight="1" x14ac:dyDescent="0.35">
      <c r="B19" s="37"/>
      <c r="C19" s="30"/>
      <c r="D19" s="37"/>
      <c r="E19" s="30"/>
    </row>
    <row r="20" spans="2:5" ht="18.5" x14ac:dyDescent="0.35">
      <c r="B20" s="158" t="s">
        <v>13</v>
      </c>
      <c r="C20" s="159"/>
      <c r="D20" s="159"/>
      <c r="E20" s="160"/>
    </row>
    <row r="21" spans="2:5" ht="18.5" x14ac:dyDescent="0.35">
      <c r="B21" s="38"/>
      <c r="C21" s="161" t="s">
        <v>14</v>
      </c>
      <c r="D21" s="162"/>
      <c r="E21" s="163"/>
    </row>
    <row r="22" spans="2:5" ht="18.5" x14ac:dyDescent="0.35">
      <c r="B22" s="38"/>
      <c r="C22" s="164" t="s">
        <v>15</v>
      </c>
      <c r="D22" s="162"/>
      <c r="E22" s="163"/>
    </row>
    <row r="23" spans="2:5" ht="18.5" x14ac:dyDescent="0.35">
      <c r="B23" s="38"/>
      <c r="C23" s="165" t="s">
        <v>16</v>
      </c>
      <c r="D23" s="166"/>
      <c r="E23" s="167"/>
    </row>
    <row r="24" spans="2:5" ht="18.5" x14ac:dyDescent="0.35">
      <c r="B24" s="38"/>
      <c r="C24" s="161" t="s">
        <v>17</v>
      </c>
      <c r="D24" s="162"/>
      <c r="E24" s="163"/>
    </row>
    <row r="25" spans="2:5" ht="18.5" x14ac:dyDescent="0.35">
      <c r="B25" s="38"/>
      <c r="C25" s="161" t="s">
        <v>18</v>
      </c>
      <c r="D25" s="162"/>
      <c r="E25" s="163"/>
    </row>
    <row r="26" spans="2:5" ht="18.5" x14ac:dyDescent="0.35">
      <c r="B26" s="38"/>
      <c r="C26" s="58" t="s">
        <v>19</v>
      </c>
      <c r="D26" s="59"/>
      <c r="E26" s="60"/>
    </row>
    <row r="27" spans="2:5" ht="18.5" x14ac:dyDescent="0.35">
      <c r="B27" s="38"/>
      <c r="C27" s="161" t="s">
        <v>20</v>
      </c>
      <c r="D27" s="162"/>
      <c r="E27" s="163"/>
    </row>
    <row r="28" spans="2:5" ht="7.5" customHeight="1" x14ac:dyDescent="0.35">
      <c r="B28" s="31"/>
      <c r="C28" s="32"/>
      <c r="D28" s="32"/>
      <c r="E28" s="36"/>
    </row>
    <row r="29" spans="2:5" ht="27" customHeight="1" x14ac:dyDescent="0.35">
      <c r="B29" s="149" t="s">
        <v>21</v>
      </c>
      <c r="C29" s="150"/>
      <c r="D29" s="150"/>
      <c r="E29" s="151"/>
    </row>
    <row r="30" spans="2:5" ht="7.5" customHeight="1" x14ac:dyDescent="0.35">
      <c r="B30" s="4"/>
      <c r="D30" s="4"/>
    </row>
    <row r="31" spans="2:5" ht="27" customHeight="1" x14ac:dyDescent="0.35">
      <c r="B31" s="152" t="s">
        <v>22</v>
      </c>
      <c r="C31" s="153"/>
      <c r="D31" s="153"/>
      <c r="E31" s="154"/>
    </row>
    <row r="33" spans="2:5" ht="18.5" x14ac:dyDescent="0.35">
      <c r="B33" s="141" t="s">
        <v>23</v>
      </c>
      <c r="C33" s="142"/>
      <c r="D33" s="143"/>
    </row>
    <row r="34" spans="2:5" ht="7.5" customHeight="1" x14ac:dyDescent="0.45">
      <c r="B34" s="19"/>
      <c r="C34" s="19"/>
      <c r="D34" s="20"/>
    </row>
    <row r="35" spans="2:5" ht="47.25" customHeight="1" x14ac:dyDescent="0.35">
      <c r="B35" s="22">
        <v>1</v>
      </c>
      <c r="C35" s="168" t="s">
        <v>24</v>
      </c>
      <c r="D35" s="169"/>
      <c r="E35" s="170"/>
    </row>
    <row r="36" spans="2:5" ht="7.5" customHeight="1" x14ac:dyDescent="0.45">
      <c r="B36" s="21"/>
      <c r="C36" s="34"/>
      <c r="D36" s="35"/>
      <c r="E36" s="16"/>
    </row>
    <row r="37" spans="2:5" ht="47.25" customHeight="1" x14ac:dyDescent="0.35">
      <c r="B37" s="22">
        <v>2</v>
      </c>
      <c r="C37" s="144" t="s">
        <v>25</v>
      </c>
      <c r="D37" s="145"/>
      <c r="E37" s="146"/>
    </row>
    <row r="38" spans="2:5" ht="7.5" customHeight="1" x14ac:dyDescent="0.45">
      <c r="B38" s="21"/>
      <c r="C38" s="39"/>
      <c r="D38" s="33"/>
      <c r="E38" s="40"/>
    </row>
    <row r="39" spans="2:5" ht="47.25" customHeight="1" x14ac:dyDescent="0.35">
      <c r="B39" s="22">
        <v>3</v>
      </c>
      <c r="C39" s="144" t="s">
        <v>26</v>
      </c>
      <c r="D39" s="145"/>
      <c r="E39" s="146"/>
    </row>
    <row r="40" spans="2:5" ht="7.5" customHeight="1" x14ac:dyDescent="0.45">
      <c r="B40" s="21"/>
      <c r="C40" s="34"/>
      <c r="D40" s="35"/>
      <c r="E40" s="16"/>
    </row>
    <row r="41" spans="2:5" ht="47.25" customHeight="1" x14ac:dyDescent="0.35">
      <c r="B41" s="22">
        <v>4</v>
      </c>
      <c r="C41" s="144" t="s">
        <v>27</v>
      </c>
      <c r="D41" s="145"/>
      <c r="E41" s="146"/>
    </row>
    <row r="42" spans="2:5" ht="7.5" customHeight="1" x14ac:dyDescent="0.45">
      <c r="B42" s="21"/>
      <c r="C42" s="34"/>
      <c r="D42" s="35"/>
      <c r="E42" s="16"/>
    </row>
    <row r="43" spans="2:5" ht="47.25" customHeight="1" x14ac:dyDescent="0.35">
      <c r="B43" s="22">
        <v>5</v>
      </c>
      <c r="C43" s="144" t="s">
        <v>28</v>
      </c>
      <c r="D43" s="145"/>
      <c r="E43" s="146"/>
    </row>
    <row r="44" spans="2:5" ht="7.5" customHeight="1" x14ac:dyDescent="0.45">
      <c r="B44" s="19"/>
      <c r="C44" s="19"/>
      <c r="D44" s="20"/>
    </row>
    <row r="45" spans="2:5" ht="72.75" customHeight="1" x14ac:dyDescent="0.35">
      <c r="B45" s="155" t="s">
        <v>29</v>
      </c>
      <c r="C45" s="156"/>
      <c r="D45" s="156"/>
      <c r="E45" s="157"/>
    </row>
  </sheetData>
  <sheetProtection algorithmName="SHA-512" hashValue="xKET/feqG4qAeH5j5Ubk5HEsnM53pXq+CE3twgjOgYTfXTnm8SNqWc4jA6jQ7qO1l1Y/IpjsM9/NYFdNZG0/Jw==" saltValue="t+CfEvzi5o5UhaJCKlBd3w==" spinCount="100000" sheet="1" objects="1" scenarios="1"/>
  <mergeCells count="24">
    <mergeCell ref="C41:E41"/>
    <mergeCell ref="C43:E43"/>
    <mergeCell ref="B45:E45"/>
    <mergeCell ref="B18:E18"/>
    <mergeCell ref="B20:E20"/>
    <mergeCell ref="C21:E21"/>
    <mergeCell ref="C22:E22"/>
    <mergeCell ref="C24:E24"/>
    <mergeCell ref="C23:E23"/>
    <mergeCell ref="C25:E25"/>
    <mergeCell ref="C27:E27"/>
    <mergeCell ref="C37:E37"/>
    <mergeCell ref="C35:E35"/>
    <mergeCell ref="B17:D17"/>
    <mergeCell ref="B33:D33"/>
    <mergeCell ref="C39:E39"/>
    <mergeCell ref="B16:C16"/>
    <mergeCell ref="B29:E29"/>
    <mergeCell ref="B31:E31"/>
    <mergeCell ref="B9:E9"/>
    <mergeCell ref="B13:C13"/>
    <mergeCell ref="B14:C14"/>
    <mergeCell ref="B15:C15"/>
    <mergeCell ref="B12:C12"/>
  </mergeCells>
  <hyperlinks>
    <hyperlink ref="E16" r:id="rId1" xr:uid="{AEBC412D-A3C6-447F-9E6E-763F9B2B3BFD}"/>
    <hyperlink ref="E12" r:id="rId2" xr:uid="{451C9AA4-B543-4187-AC04-53BA76278414}"/>
    <hyperlink ref="E13" r:id="rId3" xr:uid="{9E3F125A-8B18-4322-8996-C60CFCB399C2}"/>
    <hyperlink ref="E14" r:id="rId4" xr:uid="{8BDB39A5-7FC3-4561-A104-5825B5F09026}"/>
    <hyperlink ref="E15" r:id="rId5" xr:uid="{FD6DCA5E-39ED-402E-8085-4C80D25CB533}"/>
  </hyperlinks>
  <pageMargins left="0.7" right="0.7" top="0.75" bottom="0.75" header="0.3" footer="0.3"/>
  <pageSetup orientation="portrait" horizontalDpi="360" verticalDpi="36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AF52-95DE-4C5A-813B-EFDF484FDFAC}">
  <sheetPr codeName="Sheet1">
    <tabColor rgb="FFFFCC66"/>
  </sheetPr>
  <dimension ref="A1:A2"/>
  <sheetViews>
    <sheetView zoomScale="85" zoomScaleNormal="85" workbookViewId="0"/>
  </sheetViews>
  <sheetFormatPr defaultColWidth="9.1796875" defaultRowHeight="14.5" x14ac:dyDescent="0.35"/>
  <cols>
    <col min="1" max="1" width="41.453125" customWidth="1"/>
  </cols>
  <sheetData>
    <row r="1" spans="1:1" x14ac:dyDescent="0.35">
      <c r="A1" s="88" t="s">
        <v>30</v>
      </c>
    </row>
    <row r="2" spans="1:1" x14ac:dyDescent="0.35">
      <c r="A2" t="s">
        <v>31</v>
      </c>
    </row>
  </sheetData>
  <phoneticPr fontId="4" type="noConversion"/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C342-3F57-40E7-AD04-EDDE96A34A9C}">
  <sheetPr>
    <tabColor rgb="FFFFCC66"/>
  </sheetPr>
  <dimension ref="B2:N24"/>
  <sheetViews>
    <sheetView showGridLines="0" showRowColHeaders="0" zoomScale="40" zoomScaleNormal="4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J2" sqref="J2"/>
    </sheetView>
  </sheetViews>
  <sheetFormatPr defaultColWidth="5.26953125" defaultRowHeight="15.5" x14ac:dyDescent="0.35"/>
  <cols>
    <col min="1" max="1" width="3" style="91" customWidth="1"/>
    <col min="2" max="2" width="115.81640625" style="91" customWidth="1"/>
    <col min="3" max="3" width="5.7265625" style="91" customWidth="1"/>
    <col min="4" max="4" width="116.26953125" style="91" customWidth="1"/>
    <col min="5" max="5" width="41" style="91" customWidth="1"/>
    <col min="6" max="6" width="5.7265625" style="91" customWidth="1"/>
    <col min="7" max="7" width="54.1796875" style="91" customWidth="1"/>
    <col min="8" max="8" width="5.7265625" style="91" customWidth="1"/>
    <col min="9" max="9" width="95.7265625" style="91" customWidth="1"/>
    <col min="10" max="16384" width="5.26953125" style="91"/>
  </cols>
  <sheetData>
    <row r="2" spans="2:14" s="90" customFormat="1" ht="75" customHeight="1" x14ac:dyDescent="0.35">
      <c r="B2" s="108" t="s">
        <v>178</v>
      </c>
      <c r="C2" s="109" t="s">
        <v>32</v>
      </c>
      <c r="D2" s="171" t="s">
        <v>33</v>
      </c>
      <c r="E2" s="172"/>
      <c r="F2" s="109" t="s">
        <v>32</v>
      </c>
      <c r="G2" s="108" t="s">
        <v>34</v>
      </c>
      <c r="H2" s="109" t="s">
        <v>32</v>
      </c>
      <c r="I2" s="110" t="s">
        <v>35</v>
      </c>
    </row>
    <row r="3" spans="2:14" ht="87" customHeight="1" x14ac:dyDescent="0.35">
      <c r="B3" s="111"/>
      <c r="C3" s="112"/>
      <c r="D3" s="113" t="s">
        <v>36</v>
      </c>
      <c r="E3" s="113" t="s">
        <v>37</v>
      </c>
      <c r="F3" s="112"/>
      <c r="G3" s="113" t="s">
        <v>38</v>
      </c>
      <c r="H3" s="112"/>
      <c r="I3" s="114" t="s">
        <v>177</v>
      </c>
      <c r="N3" s="92" t="s">
        <v>39</v>
      </c>
    </row>
    <row r="4" spans="2:14" s="93" customFormat="1" ht="18.5" x14ac:dyDescent="0.45">
      <c r="B4" s="115"/>
      <c r="C4" s="19"/>
      <c r="D4" s="115"/>
      <c r="E4" s="19"/>
      <c r="F4" s="19"/>
      <c r="G4" s="116"/>
      <c r="H4" s="19"/>
      <c r="I4" s="116"/>
    </row>
    <row r="5" spans="2:14" ht="39.75" customHeight="1" x14ac:dyDescent="0.55000000000000004">
      <c r="B5" s="117" t="s">
        <v>40</v>
      </c>
      <c r="C5" s="118"/>
      <c r="D5" s="117" t="s">
        <v>41</v>
      </c>
      <c r="E5" s="117" t="s">
        <v>42</v>
      </c>
      <c r="F5" s="118"/>
      <c r="G5" s="117" t="s">
        <v>43</v>
      </c>
      <c r="H5" s="118"/>
      <c r="I5" s="117" t="s">
        <v>44</v>
      </c>
    </row>
    <row r="6" spans="2:14" s="93" customFormat="1" ht="18.5" x14ac:dyDescent="0.45">
      <c r="B6" s="119"/>
      <c r="C6" s="19"/>
      <c r="D6" s="119"/>
      <c r="E6" s="120"/>
      <c r="F6" s="19"/>
      <c r="G6" s="116"/>
      <c r="H6" s="19"/>
      <c r="I6" s="116"/>
    </row>
    <row r="7" spans="2:14" ht="40.5" customHeight="1" x14ac:dyDescent="0.35">
      <c r="B7" s="121" t="s">
        <v>45</v>
      </c>
      <c r="C7" s="122"/>
      <c r="D7" s="123" t="s">
        <v>46</v>
      </c>
      <c r="E7" s="123" t="s">
        <v>47</v>
      </c>
      <c r="F7" s="124"/>
      <c r="G7" s="125" t="s">
        <v>48</v>
      </c>
      <c r="H7" s="126"/>
      <c r="I7" s="127" t="s">
        <v>49</v>
      </c>
    </row>
    <row r="8" spans="2:14" ht="40.5" customHeight="1" x14ac:dyDescent="0.35">
      <c r="B8" s="97" t="s">
        <v>176</v>
      </c>
      <c r="C8" s="94"/>
      <c r="D8" s="98" t="s">
        <v>50</v>
      </c>
      <c r="E8" s="128" t="s">
        <v>51</v>
      </c>
      <c r="F8" s="95"/>
      <c r="G8" s="99">
        <v>1</v>
      </c>
      <c r="H8" s="96"/>
      <c r="I8" s="100" t="s">
        <v>52</v>
      </c>
    </row>
    <row r="9" spans="2:14" ht="40.5" customHeight="1" x14ac:dyDescent="0.35">
      <c r="B9" s="97" t="s">
        <v>53</v>
      </c>
      <c r="C9" s="94"/>
      <c r="D9" s="98" t="s">
        <v>54</v>
      </c>
      <c r="E9" s="128" t="s">
        <v>55</v>
      </c>
      <c r="F9" s="95"/>
      <c r="G9" s="99">
        <v>1</v>
      </c>
      <c r="H9" s="96"/>
      <c r="I9" s="100" t="s">
        <v>52</v>
      </c>
    </row>
    <row r="10" spans="2:14" ht="40.5" customHeight="1" x14ac:dyDescent="0.35">
      <c r="B10" s="97" t="s">
        <v>56</v>
      </c>
      <c r="C10" s="94"/>
      <c r="D10" s="98" t="s">
        <v>57</v>
      </c>
      <c r="E10" s="128" t="s">
        <v>58</v>
      </c>
      <c r="F10" s="95"/>
      <c r="G10" s="99">
        <v>1</v>
      </c>
      <c r="H10" s="96"/>
      <c r="I10" s="100" t="s">
        <v>52</v>
      </c>
    </row>
    <row r="11" spans="2:14" ht="40.5" customHeight="1" x14ac:dyDescent="0.35">
      <c r="B11" s="97" t="s">
        <v>59</v>
      </c>
      <c r="C11" s="94"/>
      <c r="D11" s="98" t="s">
        <v>60</v>
      </c>
      <c r="E11" s="128" t="s">
        <v>61</v>
      </c>
      <c r="F11" s="95"/>
      <c r="G11" s="99">
        <v>1</v>
      </c>
      <c r="H11" s="96"/>
      <c r="I11" s="100" t="s">
        <v>52</v>
      </c>
    </row>
    <row r="12" spans="2:14" ht="40.5" customHeight="1" x14ac:dyDescent="0.35">
      <c r="B12" s="97" t="s">
        <v>62</v>
      </c>
      <c r="C12" s="94"/>
      <c r="D12" s="98" t="s">
        <v>63</v>
      </c>
      <c r="E12" s="128" t="s">
        <v>64</v>
      </c>
      <c r="F12" s="95"/>
      <c r="G12" s="99">
        <v>1</v>
      </c>
      <c r="H12" s="96"/>
      <c r="I12" s="100" t="s">
        <v>52</v>
      </c>
    </row>
    <row r="13" spans="2:14" ht="40.5" customHeight="1" x14ac:dyDescent="0.35">
      <c r="B13" s="97" t="s">
        <v>65</v>
      </c>
      <c r="C13" s="94"/>
      <c r="D13" s="98" t="s">
        <v>66</v>
      </c>
      <c r="E13" s="128" t="s">
        <v>67</v>
      </c>
      <c r="F13" s="95"/>
      <c r="G13" s="99">
        <v>1</v>
      </c>
      <c r="H13" s="96"/>
      <c r="I13" s="100" t="s">
        <v>52</v>
      </c>
    </row>
    <row r="14" spans="2:14" ht="40.5" customHeight="1" x14ac:dyDescent="0.35">
      <c r="B14" s="97" t="s">
        <v>68</v>
      </c>
      <c r="C14" s="94"/>
      <c r="D14" s="98" t="s">
        <v>69</v>
      </c>
      <c r="E14" s="128" t="s">
        <v>70</v>
      </c>
      <c r="F14" s="95"/>
      <c r="G14" s="99">
        <v>1</v>
      </c>
      <c r="H14" s="96"/>
      <c r="I14" s="100" t="s">
        <v>52</v>
      </c>
    </row>
    <row r="15" spans="2:14" ht="40.5" customHeight="1" x14ac:dyDescent="0.35">
      <c r="B15" s="97" t="s">
        <v>175</v>
      </c>
      <c r="C15" s="94"/>
      <c r="D15" s="98" t="s">
        <v>71</v>
      </c>
      <c r="E15" s="128" t="s">
        <v>72</v>
      </c>
      <c r="F15" s="95"/>
      <c r="G15" s="99">
        <v>1</v>
      </c>
      <c r="H15" s="96"/>
      <c r="I15" s="100" t="s">
        <v>52</v>
      </c>
    </row>
    <row r="16" spans="2:14" ht="40.5" customHeight="1" x14ac:dyDescent="0.35">
      <c r="B16" s="97" t="s">
        <v>73</v>
      </c>
      <c r="C16" s="94"/>
      <c r="D16" s="98" t="s">
        <v>74</v>
      </c>
      <c r="E16" s="128" t="s">
        <v>75</v>
      </c>
      <c r="F16" s="95"/>
      <c r="G16" s="99">
        <v>1</v>
      </c>
      <c r="H16" s="96"/>
      <c r="I16" s="100" t="s">
        <v>52</v>
      </c>
    </row>
    <row r="17" spans="2:9" ht="40.5" customHeight="1" x14ac:dyDescent="0.35">
      <c r="B17" s="97" t="s">
        <v>76</v>
      </c>
      <c r="C17" s="94"/>
      <c r="D17" s="98" t="s">
        <v>77</v>
      </c>
      <c r="E17" s="128" t="s">
        <v>78</v>
      </c>
      <c r="F17" s="95"/>
      <c r="G17" s="99">
        <v>1</v>
      </c>
      <c r="H17" s="96"/>
      <c r="I17" s="100" t="s">
        <v>52</v>
      </c>
    </row>
    <row r="18" spans="2:9" ht="75.75" customHeight="1" x14ac:dyDescent="0.35">
      <c r="B18" s="97" t="s">
        <v>79</v>
      </c>
      <c r="C18" s="94"/>
      <c r="D18" s="98" t="s">
        <v>80</v>
      </c>
      <c r="E18" s="128" t="s">
        <v>81</v>
      </c>
      <c r="F18" s="95"/>
      <c r="G18" s="99">
        <v>1</v>
      </c>
      <c r="H18" s="96"/>
      <c r="I18" s="100" t="s">
        <v>52</v>
      </c>
    </row>
    <row r="19" spans="2:9" ht="75.75" customHeight="1" x14ac:dyDescent="0.35">
      <c r="B19" s="97" t="s">
        <v>82</v>
      </c>
      <c r="C19" s="94"/>
      <c r="D19" s="98" t="s">
        <v>83</v>
      </c>
      <c r="E19" s="128" t="s">
        <v>84</v>
      </c>
      <c r="F19" s="95"/>
      <c r="G19" s="99">
        <v>1</v>
      </c>
      <c r="H19" s="96"/>
      <c r="I19" s="100" t="s">
        <v>52</v>
      </c>
    </row>
    <row r="20" spans="2:9" ht="40.5" customHeight="1" x14ac:dyDescent="0.35">
      <c r="B20" s="97" t="s">
        <v>85</v>
      </c>
      <c r="C20" s="94"/>
      <c r="D20" s="98" t="s">
        <v>86</v>
      </c>
      <c r="E20" s="128" t="s">
        <v>87</v>
      </c>
      <c r="F20" s="95"/>
      <c r="G20" s="99">
        <v>1</v>
      </c>
      <c r="H20" s="96"/>
      <c r="I20" s="100" t="s">
        <v>52</v>
      </c>
    </row>
    <row r="21" spans="2:9" ht="40.5" customHeight="1" x14ac:dyDescent="0.35">
      <c r="B21" s="97" t="s">
        <v>88</v>
      </c>
      <c r="C21" s="94"/>
      <c r="D21" s="101" t="s">
        <v>89</v>
      </c>
      <c r="E21" s="129" t="s">
        <v>90</v>
      </c>
      <c r="F21" s="95"/>
      <c r="G21" s="99">
        <v>1</v>
      </c>
      <c r="H21" s="96"/>
      <c r="I21" s="100" t="s">
        <v>91</v>
      </c>
    </row>
    <row r="22" spans="2:9" ht="40.5" customHeight="1" x14ac:dyDescent="0.35">
      <c r="B22" s="97" t="s">
        <v>92</v>
      </c>
      <c r="C22" s="94"/>
      <c r="D22" s="101" t="s">
        <v>89</v>
      </c>
      <c r="E22" s="129" t="s">
        <v>93</v>
      </c>
      <c r="F22" s="95"/>
      <c r="G22" s="99">
        <v>1</v>
      </c>
      <c r="H22" s="96"/>
      <c r="I22" s="100" t="s">
        <v>91</v>
      </c>
    </row>
    <row r="23" spans="2:9" ht="40.5" customHeight="1" x14ac:dyDescent="0.35">
      <c r="B23" s="97" t="s">
        <v>94</v>
      </c>
      <c r="C23" s="94"/>
      <c r="D23" s="101" t="s">
        <v>89</v>
      </c>
      <c r="E23" s="129" t="s">
        <v>95</v>
      </c>
      <c r="F23" s="95"/>
      <c r="G23" s="99">
        <v>1</v>
      </c>
      <c r="H23" s="96"/>
      <c r="I23" s="100" t="s">
        <v>91</v>
      </c>
    </row>
    <row r="24" spans="2:9" ht="40.5" customHeight="1" x14ac:dyDescent="0.35">
      <c r="B24" s="97" t="s">
        <v>96</v>
      </c>
      <c r="C24" s="94"/>
      <c r="D24" s="101" t="s">
        <v>89</v>
      </c>
      <c r="E24" s="129" t="s">
        <v>97</v>
      </c>
      <c r="F24" s="95"/>
      <c r="G24" s="99">
        <v>1</v>
      </c>
      <c r="H24" s="96"/>
      <c r="I24" s="100" t="s">
        <v>91</v>
      </c>
    </row>
  </sheetData>
  <sheetProtection algorithmName="SHA-512" hashValue="yiqa0rywZcUB0+oK/rbbHMBe/EKWJCXRd2nipswsjIwD2Ok5oehre6NkwLnQ55oVdARxMYLutXes4Jvf3Y4evA==" saltValue="Nkc75JMZRjLZRYC4OAMuZw==" spinCount="100000" sheet="1" objects="1" scenarios="1" formatCells="0"/>
  <mergeCells count="1">
    <mergeCell ref="D2:E2"/>
  </mergeCells>
  <phoneticPr fontId="4" type="noConversion"/>
  <conditionalFormatting sqref="G8:G24">
    <cfRule type="colorScale" priority="6">
      <colorScale>
        <cfvo type="min"/>
        <cfvo type="num" val="1"/>
        <cfvo type="max"/>
        <color theme="8" tint="0.39997558519241921"/>
        <color theme="0" tint="-4.9989318521683403E-2"/>
        <color theme="5" tint="0.39997558519241921"/>
      </colorScale>
    </cfRule>
  </conditionalFormatting>
  <conditionalFormatting sqref="I8:I24">
    <cfRule type="containsText" dxfId="97" priority="7" operator="containsText" text="Excluded">
      <formula>NOT(ISERROR(SEARCH("Excluded",I8)))</formula>
    </cfRule>
    <cfRule type="containsText" dxfId="96" priority="8" operator="containsText" text="Included">
      <formula>NOT(ISERROR(SEARCH("Included",I8)))</formula>
    </cfRule>
  </conditionalFormatting>
  <dataValidations count="1">
    <dataValidation type="decimal" allowBlank="1" showInputMessage="1" showErrorMessage="1" prompt="Add numeric value for the relative weight" sqref="G8:G24" xr:uid="{3A1BEDF6-5D45-4AF1-8409-03DE5F70918F}">
      <formula1>0</formula1>
      <formula2>100</formula2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02EA60C-79E4-4739-950F-4BF3E2135698}">
          <x14:formula1>
            <xm:f>'Names - Do not touch'!$G$5:$G$6</xm:f>
          </x14:formula1>
          <xm:sqref>I8:I24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DEC4-6D75-4541-AB01-FFF39F4FB91A}">
  <sheetPr codeName="Sheet3">
    <tabColor rgb="FF009999"/>
  </sheetPr>
  <dimension ref="A1:Y2"/>
  <sheetViews>
    <sheetView showGridLines="0" tabSelected="1" topLeftCell="B1" zoomScale="55" zoomScaleNormal="55" workbookViewId="0">
      <selection activeCell="X2" sqref="X2"/>
    </sheetView>
  </sheetViews>
  <sheetFormatPr defaultColWidth="36.1796875" defaultRowHeight="14.5" x14ac:dyDescent="0.35"/>
  <cols>
    <col min="1" max="4" width="11.7265625" style="14" customWidth="1"/>
    <col min="5" max="23" width="11.7265625" style="24" customWidth="1"/>
    <col min="24" max="24" width="11.7265625" style="25" customWidth="1"/>
    <col min="25" max="25" width="36.1796875" style="13"/>
    <col min="26" max="16384" width="36.1796875" style="12"/>
  </cols>
  <sheetData>
    <row r="1" spans="1:24" ht="135" customHeight="1" x14ac:dyDescent="0.35">
      <c r="A1" s="42" t="s">
        <v>98</v>
      </c>
      <c r="B1" s="42" t="s">
        <v>99</v>
      </c>
      <c r="C1" s="42" t="s">
        <v>100</v>
      </c>
      <c r="D1" s="42" t="s">
        <v>101</v>
      </c>
      <c r="E1" s="106" t="s">
        <v>47</v>
      </c>
      <c r="F1" s="107" t="s">
        <v>51</v>
      </c>
      <c r="G1" s="107" t="s">
        <v>55</v>
      </c>
      <c r="H1" s="107" t="s">
        <v>58</v>
      </c>
      <c r="I1" s="107" t="s">
        <v>61</v>
      </c>
      <c r="J1" s="107" t="s">
        <v>64</v>
      </c>
      <c r="K1" s="107" t="s">
        <v>67</v>
      </c>
      <c r="L1" s="107" t="s">
        <v>70</v>
      </c>
      <c r="M1" s="107" t="s">
        <v>72</v>
      </c>
      <c r="N1" s="107" t="s">
        <v>75</v>
      </c>
      <c r="O1" s="107" t="s">
        <v>78</v>
      </c>
      <c r="P1" s="107" t="s">
        <v>81</v>
      </c>
      <c r="Q1" s="107" t="s">
        <v>84</v>
      </c>
      <c r="R1" s="107" t="s">
        <v>87</v>
      </c>
      <c r="S1" s="107" t="s">
        <v>90</v>
      </c>
      <c r="T1" s="107" t="s">
        <v>93</v>
      </c>
      <c r="U1" s="107" t="s">
        <v>95</v>
      </c>
      <c r="V1" s="107" t="s">
        <v>97</v>
      </c>
      <c r="W1" s="42" t="s">
        <v>102</v>
      </c>
      <c r="X1" s="45" t="s">
        <v>181</v>
      </c>
    </row>
    <row r="2" spans="1:24" x14ac:dyDescent="0.35">
      <c r="A2" s="102" t="e" cm="1">
        <f t="array" aca="1" ref="A2" ca="1">INDIRECT(_0_uniq_id)</f>
        <v>#REF!</v>
      </c>
      <c r="B2" s="102" t="e" cm="1">
        <f t="array" aca="1" ref="B2" ca="1">INDIRECT(_1_adi_1)</f>
        <v>#REF!</v>
      </c>
      <c r="C2" s="102" t="e" cm="1">
        <f t="array" aca="1" ref="C2" ca="1">INDIRECT(_2_adi_2)</f>
        <v>#REF!</v>
      </c>
      <c r="D2" s="102" t="e" cm="1">
        <f t="array" aca="1" ref="D2" ca="1">INDIRECT(_3_pop)</f>
        <v>#REF!</v>
      </c>
      <c r="E2" s="103" t="e" cm="1">
        <f t="array" aca="1" ref="E2" ca="1">INDIRECT(_q01)</f>
        <v>#REF!</v>
      </c>
      <c r="F2" s="103" t="e" cm="1">
        <f t="array" aca="1" ref="F2" ca="1">INDIRECT(_q02)</f>
        <v>#REF!</v>
      </c>
      <c r="G2" s="103" t="e" cm="1">
        <f t="array" aca="1" ref="G2" ca="1">INDIRECT(_q03)</f>
        <v>#REF!</v>
      </c>
      <c r="H2" s="103" t="e" cm="1">
        <f t="array" aca="1" ref="H2" ca="1">INDIRECT(_q04)</f>
        <v>#REF!</v>
      </c>
      <c r="I2" s="103" t="e" cm="1">
        <f t="array" aca="1" ref="I2" ca="1">INDIRECT(_q05)</f>
        <v>#REF!</v>
      </c>
      <c r="J2" s="103" t="e" cm="1">
        <f t="array" aca="1" ref="J2" ca="1">INDIRECT(_q06)</f>
        <v>#REF!</v>
      </c>
      <c r="K2" s="103" t="e" cm="1">
        <f t="array" aca="1" ref="K2" ca="1">INDIRECT(_q07)</f>
        <v>#REF!</v>
      </c>
      <c r="L2" s="103" t="e" cm="1">
        <f t="array" aca="1" ref="L2" ca="1">INDIRECT(_q08)</f>
        <v>#REF!</v>
      </c>
      <c r="M2" s="103" t="e" cm="1">
        <f t="array" aca="1" ref="M2" ca="1">INDIRECT(_q09)</f>
        <v>#REF!</v>
      </c>
      <c r="N2" s="103" t="e" cm="1">
        <f t="array" aca="1" ref="N2" ca="1">INDIRECT(_q10)</f>
        <v>#REF!</v>
      </c>
      <c r="O2" s="103" t="e" cm="1">
        <f t="array" aca="1" ref="O2" ca="1">INDIRECT(_q11)</f>
        <v>#REF!</v>
      </c>
      <c r="P2" s="103" t="e" cm="1">
        <f t="array" aca="1" ref="P2" ca="1">INDIRECT(_q12)</f>
        <v>#REF!</v>
      </c>
      <c r="Q2" s="103" t="e" cm="1">
        <f t="array" aca="1" ref="Q2" ca="1">INDIRECT(_q13)</f>
        <v>#REF!</v>
      </c>
      <c r="R2" s="103" t="e" cm="1">
        <f t="array" aca="1" ref="R2" ca="1">INDIRECT(_q14)</f>
        <v>#REF!</v>
      </c>
      <c r="S2" s="103" t="e" cm="1">
        <f t="array" aca="1" ref="S2" ca="1">INDIRECT(_q15)</f>
        <v>#REF!</v>
      </c>
      <c r="T2" s="103" t="e" cm="1">
        <f t="array" aca="1" ref="T2" ca="1">INDIRECT(_q16)</f>
        <v>#REF!</v>
      </c>
      <c r="U2" s="103" t="e" cm="1">
        <f t="array" aca="1" ref="U2" ca="1">INDIRECT(_q17)</f>
        <v>#REF!</v>
      </c>
      <c r="V2" s="103" t="e" cm="1">
        <f t="array" aca="1" ref="V2" ca="1">INDIRECT(_q18)</f>
        <v>#REF!</v>
      </c>
      <c r="W2" s="104">
        <f ca="1">COUNTIF(working_table[[#This Row],[VF_01_chol_otbk]:[VF_18_add_factor_4]],"Missing_value")</f>
        <v>0</v>
      </c>
      <c r="X2" s="105" t="e">
        <f ca="1">IF(working_table[[#This Row],[VF_01_chol_otbk]]= "Yes", "Initial PAMI",
IF('─&gt; Factor selection'!$I$8="Included in the vulnerability index", IF(working_table[[#This Row],[VF_02_chol_import]]="Yes", 1*'─&gt; Factor selection'!$G$8, 0),0) +
IF('─&gt; Factor selection'!$I$9="Included in the vulnerability index", IF(working_table[[#This Row],[VF_03_chol_proximity]]="Yes", 1*'─&gt; Factor selection'!$G$9, 0),0) +
IF('─&gt; Factor selection'!$I$10="Included in the vulnerability index", IF(working_table[[#This Row],[VF_04_mov_pathw]]="Yes", 1*'─&gt; Factor selection'!$G$10, 0),0) +
IF('─&gt; Factor selection'!$I$11="Included in the vulnerability index", IF(working_table[[#This Row],[VF_05_pop_gathering]]="Yes", 1*'─&gt; Factor selection'!$G$11, 0),0) +
IF('─&gt; Factor selection'!$I$12="Included in the vulnerability index", IF(working_table[[#This Row],[VF_06_overcrowded_set]]="Yes", 1*'─&gt; Factor selection'!$G$12, 0),0) +
IF('─&gt; Factor selection'!$I$13="Included in the vulnerability index", IF(working_table[[#This Row],[VF_07_high_risk_pop]]="Yes", 1*'─&gt; Factor selection'!$G$13, 0),0) +
IF('─&gt; Factor selection'!$I$14="Included in the vulnerability index", IF(working_table[[#This Row],[VF_08_hard_to_acc_risk_pop]]="Yes", 1*'─&gt; Factor selection'!$G$14, 0),0) +
IF('─&gt; Factor selection'!$I$15="Included in the vulnerability index", IF(working_table[[#This Row],[VF_09_ocv]]="Yes", 1*'─&gt; Factor selection'!$G$15, 0),0) +
IF('─&gt; Factor selection'!$I$16="Included in the vulnerability index", IF(working_table[[#This Row],[VF_10_climate_event]]="Yes", 1*'─&gt; Factor selection'!$G$16, 0),0) +
IF('─&gt; Factor selection'!$I$17="Included in the vulnerability index", IF(working_table[[#This Row],[VF_11_comp_humanit_emerg]]="Yes", 1*'─&gt; Factor selection'!$G$17, 0),0) +
IF('─&gt; Factor selection'!$I$18="Included in the vulnerability index", IF(working_table[[#This Row],[VF_12_unimprov_water]]="Yes", 1*'─&gt; Factor selection'!$G$18, 0),0) +
IF('─&gt; Factor selection'!$I$19="Included in the vulnerability index", IF(working_table[[#This Row],[VF_13_unimprov_sanitat]]="Yes", 1*'─&gt; Factor selection'!$G$19, 0),0) +
IF('─&gt; Factor selection'!$I$20="Included in the vulnerability index", IF(working_table[[#This Row],[VF_14_limited_hygien]]="Yes", 1*'─&gt; Factor selection'!$G$20, 0),0) +
IF('─&gt; Factor selection'!$I$21="Included in the vulnerability index", IF(working_table[[#This Row],[VF_15_add_factor_1]]="Yes", 1*'─&gt; Factor selection'!$G$21, 0),0) +
IF('─&gt; Factor selection'!$I$22="Included in the vulnerability index", IF(working_table[[#This Row],[VF_16_add_factor_2]]="Yes", 1*'─&gt; Factor selection'!$G$22, 0),0) +
IF('─&gt; Factor selection'!$I$23="Included in the vulnerability index", IF(working_table[[#This Row],[VF_17_add_factor_3]]="Yes", 1*'─&gt; Factor selection'!$G$23, 0),0) +
IF('─&gt; Factor selection'!$I$24="Included in the vulnerability index", IF(working_table[[#This Row],[VF_18_add_factor_4]]="Yes", 1*'─&gt; Factor selection'!$G$24, 0),0))</f>
        <v>#REF!</v>
      </c>
    </row>
  </sheetData>
  <sheetProtection algorithmName="SHA-512" hashValue="k4ZtAzJ0bPtmLFB7biafifig9QR94KCdCVk0VKpehopgaP24AvDSb9ReoRNdL+veE0lkyeh1ILNnIUhwJQwieQ==" saltValue="vd08pAYBEGPtJN4rPNSa0A==" spinCount="100000" sheet="1" objects="1" scenarios="1" deleteRows="0"/>
  <phoneticPr fontId="4" type="noConversion"/>
  <conditionalFormatting sqref="E2:V2">
    <cfRule type="containsText" dxfId="95" priority="1" operator="containsText" text="Not included">
      <formula>NOT(ISERROR(SEARCH("Not included",E2)))</formula>
    </cfRule>
    <cfRule type="containsText" dxfId="94" priority="3" operator="containsText" text="Missing_value">
      <formula>NOT(ISERROR(SEARCH("Missing_value",E2)))</formula>
    </cfRule>
    <cfRule type="containsText" dxfId="93" priority="10" operator="containsText" text="Yes">
      <formula>NOT(ISERROR(SEARCH("Yes",E2)))</formula>
    </cfRule>
  </conditionalFormatting>
  <conditionalFormatting sqref="W2">
    <cfRule type="cellIs" dxfId="92" priority="44" operator="greaterThan">
      <formula>0</formula>
    </cfRule>
    <cfRule type="iconSet" priority="4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X2">
    <cfRule type="containsText" dxfId="91" priority="46" operator="containsText" text="PAMI">
      <formula>NOT(ISERROR(SEARCH("PAMI",X2)))</formula>
    </cfRule>
    <cfRule type="colorScale" priority="47">
      <colorScale>
        <cfvo type="min"/>
        <cfvo type="percentile" val="50"/>
        <cfvo type="max"/>
        <color rgb="FF0070C0"/>
        <color rgb="FFFFEB84"/>
        <color rgb="FFF8696B"/>
      </colorScale>
    </cfRule>
  </conditionalFormatting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C39C-FBEB-49E4-AFEC-19C3D34FB760}">
  <sheetPr codeName="Sheet2">
    <tabColor rgb="FF009999"/>
  </sheetPr>
  <dimension ref="A2:I8"/>
  <sheetViews>
    <sheetView showGridLines="0" showRowColHeaders="0" topLeftCell="A4" zoomScale="70" zoomScaleNormal="70" workbookViewId="0">
      <selection activeCell="G5" sqref="G5"/>
    </sheetView>
  </sheetViews>
  <sheetFormatPr defaultColWidth="2.453125" defaultRowHeight="15.5" x14ac:dyDescent="0.35"/>
  <cols>
    <col min="1" max="1" width="3.453125" style="2" customWidth="1"/>
    <col min="2" max="2" width="29.453125" style="3" customWidth="1"/>
    <col min="3" max="9" width="29.453125" style="1" customWidth="1"/>
    <col min="10" max="16384" width="2.453125" style="1"/>
  </cols>
  <sheetData>
    <row r="2" spans="2:9" x14ac:dyDescent="0.35">
      <c r="B2" s="173" t="s">
        <v>103</v>
      </c>
      <c r="C2" s="174"/>
      <c r="D2" s="174"/>
      <c r="E2" s="174"/>
      <c r="F2" s="174"/>
      <c r="G2" s="174"/>
      <c r="H2" s="175"/>
    </row>
    <row r="3" spans="2:9" ht="9.75" customHeight="1" x14ac:dyDescent="0.35"/>
    <row r="4" spans="2:9" ht="35.25" customHeight="1" x14ac:dyDescent="0.35">
      <c r="B4" s="176" t="s">
        <v>180</v>
      </c>
      <c r="C4" s="177"/>
      <c r="D4" s="177"/>
      <c r="E4" s="177"/>
      <c r="F4" s="177"/>
      <c r="G4" s="177"/>
      <c r="H4" s="177"/>
      <c r="I4" s="178"/>
    </row>
    <row r="5" spans="2:9" ht="342.75" customHeight="1" x14ac:dyDescent="0.35"/>
    <row r="6" spans="2:9" customFormat="1" ht="29" x14ac:dyDescent="0.35">
      <c r="B6" s="79" t="s">
        <v>104</v>
      </c>
      <c r="C6" s="48" t="s">
        <v>105</v>
      </c>
      <c r="D6" s="48" t="s">
        <v>106</v>
      </c>
      <c r="E6" s="48" t="s">
        <v>107</v>
      </c>
      <c r="F6" s="48" t="s">
        <v>108</v>
      </c>
      <c r="G6" s="48" t="s">
        <v>109</v>
      </c>
      <c r="H6" s="48" t="s">
        <v>110</v>
      </c>
      <c r="I6" s="48" t="s">
        <v>111</v>
      </c>
    </row>
    <row r="7" spans="2:9" x14ac:dyDescent="0.35">
      <c r="B7" s="87" t="s">
        <v>112</v>
      </c>
      <c r="C7">
        <v>100</v>
      </c>
      <c r="D7">
        <v>100</v>
      </c>
      <c r="E7" s="62" t="s">
        <v>113</v>
      </c>
      <c r="F7" s="83" t="s">
        <v>113</v>
      </c>
      <c r="G7" s="61" t="s">
        <v>113</v>
      </c>
      <c r="H7" s="62" t="s">
        <v>113</v>
      </c>
      <c r="I7" s="83" t="s">
        <v>113</v>
      </c>
    </row>
    <row r="8" spans="2:9" x14ac:dyDescent="0.35">
      <c r="B8" s="75" t="s">
        <v>114</v>
      </c>
      <c r="C8" s="84" t="s">
        <v>113</v>
      </c>
      <c r="D8" s="84"/>
      <c r="E8" s="76" t="s">
        <v>113</v>
      </c>
      <c r="F8" s="77" t="s">
        <v>113</v>
      </c>
      <c r="G8" s="78" t="s">
        <v>113</v>
      </c>
      <c r="H8" s="77" t="s">
        <v>113</v>
      </c>
      <c r="I8" s="77" t="s">
        <v>113</v>
      </c>
    </row>
  </sheetData>
  <mergeCells count="2">
    <mergeCell ref="B2:H2"/>
    <mergeCell ref="B4:I4"/>
  </mergeCells>
  <conditionalFormatting pivot="1" sqref="E7">
    <cfRule type="dataBar" priority="2">
      <dataBar>
        <cfvo type="min"/>
        <cfvo type="max"/>
        <color rgb="FF83D9D7"/>
      </dataBar>
      <extLst>
        <ext xmlns:x14="http://schemas.microsoft.com/office/spreadsheetml/2009/9/main" uri="{B025F937-C7B1-47D3-B67F-A62EFF666E3E}">
          <x14:id>{7A2F92AC-53B4-49A0-AD33-32CF48439C83}</x14:id>
        </ext>
      </extLst>
    </cfRule>
  </conditionalFormatting>
  <conditionalFormatting pivot="1" sqref="H7">
    <cfRule type="dataBar" priority="1">
      <dataBar>
        <cfvo type="min"/>
        <cfvo type="max"/>
        <color rgb="FF83D9D7"/>
      </dataBar>
      <extLst>
        <ext xmlns:x14="http://schemas.microsoft.com/office/spreadsheetml/2009/9/main" uri="{B025F937-C7B1-47D3-B67F-A62EFF666E3E}">
          <x14:id>{84335F3D-334E-49B7-9CD9-097796BFCF11}</x14:id>
        </ext>
      </extLst>
    </cfRule>
  </conditionalFormatting>
  <pageMargins left="0.7" right="0.7" top="0.75" bottom="0.75" header="0.3" footer="0.3"/>
  <pageSetup orientation="portrait" horizontalDpi="360" verticalDpi="36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A2F92AC-53B4-49A0-AD33-32CF48439C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 pivot="1">
          <x14:cfRule type="dataBar" id="{84335F3D-334E-49B7-9CD9-097796BFCF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73C0-16FA-4EFA-8091-8A8827E367A2}">
  <sheetPr>
    <tabColor rgb="FF009999"/>
  </sheetPr>
  <dimension ref="B2:M22"/>
  <sheetViews>
    <sheetView showGridLines="0" showRowColHeaders="0" zoomScale="55" zoomScaleNormal="55" workbookViewId="0">
      <selection activeCell="P2" sqref="P2"/>
    </sheetView>
  </sheetViews>
  <sheetFormatPr defaultColWidth="2.1796875" defaultRowHeight="14.5" x14ac:dyDescent="0.35"/>
  <cols>
    <col min="1" max="1" width="2.1796875" style="49"/>
    <col min="2" max="2" width="144.453125" style="49" customWidth="1"/>
    <col min="3" max="4" width="2.1796875" style="49"/>
    <col min="5" max="5" width="18.26953125" style="49" bestFit="1" customWidth="1"/>
    <col min="6" max="6" width="6.81640625" style="49" bestFit="1" customWidth="1"/>
    <col min="7" max="7" width="8.1796875" style="49" bestFit="1" customWidth="1"/>
    <col min="8" max="8" width="7.453125" style="49" bestFit="1" customWidth="1"/>
    <col min="9" max="9" width="2.1796875" style="49"/>
    <col min="10" max="10" width="18.26953125" style="49" bestFit="1" customWidth="1"/>
    <col min="11" max="11" width="7.453125" style="49" bestFit="1" customWidth="1"/>
    <col min="12" max="12" width="8.1796875" style="49" bestFit="1" customWidth="1"/>
    <col min="13" max="13" width="8.26953125" style="49" bestFit="1" customWidth="1"/>
    <col min="14" max="16384" width="2.1796875" style="49"/>
  </cols>
  <sheetData>
    <row r="2" spans="2:13" ht="30" customHeight="1" x14ac:dyDescent="0.35">
      <c r="B2" s="63" t="s">
        <v>40</v>
      </c>
      <c r="C2" s="64"/>
      <c r="D2" s="64"/>
      <c r="E2" s="179" t="s">
        <v>115</v>
      </c>
      <c r="F2" s="180"/>
      <c r="G2" s="180"/>
      <c r="H2" s="181"/>
      <c r="I2" s="64"/>
      <c r="J2" s="179" t="s">
        <v>116</v>
      </c>
      <c r="K2" s="180"/>
      <c r="L2" s="180"/>
      <c r="M2" s="181"/>
    </row>
    <row r="3" spans="2:13" ht="30" customHeight="1" x14ac:dyDescent="0.35">
      <c r="B3" s="51"/>
      <c r="C3" s="51"/>
      <c r="D3" s="51"/>
      <c r="E3" s="52" t="s">
        <v>117</v>
      </c>
      <c r="F3" s="52" t="s">
        <v>118</v>
      </c>
      <c r="G3" s="52" t="s">
        <v>119</v>
      </c>
      <c r="H3" s="52" t="s">
        <v>120</v>
      </c>
      <c r="I3" s="51"/>
      <c r="J3" s="52" t="s">
        <v>117</v>
      </c>
      <c r="K3" s="52" t="s">
        <v>118</v>
      </c>
      <c r="L3" s="52" t="s">
        <v>119</v>
      </c>
      <c r="M3" s="52" t="s">
        <v>120</v>
      </c>
    </row>
    <row r="5" spans="2:13" s="48" customFormat="1" ht="27" customHeight="1" x14ac:dyDescent="0.35">
      <c r="B5" s="65" t="str">
        <f>'─&gt; Factor selection'!B7</f>
        <v>Confirmed cholera outbreak(s) over the analysis period</v>
      </c>
      <c r="C5" s="67"/>
      <c r="D5" s="49"/>
      <c r="E5" s="80">
        <f ca="1">COUNTIF(working_table[VF_01_chol_otbk], "missing_value")</f>
        <v>0</v>
      </c>
      <c r="F5" s="47">
        <f ca="1">COUNTIF(working_table[VF_01_chol_otbk], "No")</f>
        <v>0</v>
      </c>
      <c r="G5" s="47">
        <f ca="1">COUNTIF(working_table[VF_01_chol_otbk], "Yes")</f>
        <v>0</v>
      </c>
      <c r="H5" s="47">
        <f t="shared" ref="H5:H22" ca="1" si="0">SUM(E5:G5)</f>
        <v>0</v>
      </c>
      <c r="I5" s="49"/>
      <c r="J5" s="56" t="str">
        <f ca="1">IF(H5=0, ".",(E5/$H5))</f>
        <v>.</v>
      </c>
      <c r="K5" s="50" t="str">
        <f ca="1">IF(H5=0,".",(F5/$H5))</f>
        <v>.</v>
      </c>
      <c r="L5" s="50" t="str">
        <f ca="1">IF(H5=0,".",(G5/$H5))</f>
        <v>.</v>
      </c>
      <c r="M5" s="50" t="str">
        <f ca="1">IF(H5=0,".",(H5/$H5))</f>
        <v>.</v>
      </c>
    </row>
    <row r="6" spans="2:13" ht="27" customHeight="1" x14ac:dyDescent="0.35">
      <c r="B6" s="65" t="str">
        <f>'─&gt; Factor selection'!B8</f>
        <v>Confirmed cholera imported case(s) in the NCP operational geographic unit considered</v>
      </c>
      <c r="C6" s="67"/>
      <c r="E6" s="80">
        <f ca="1">COUNTIF(working_table[VF_02_chol_import], "missing_value")</f>
        <v>0</v>
      </c>
      <c r="F6" s="47">
        <f ca="1">COUNTIF(working_table[VF_02_chol_import], "No")</f>
        <v>0</v>
      </c>
      <c r="G6" s="47">
        <f ca="1">COUNTIF(working_table[VF_02_chol_import], "Yes")</f>
        <v>0</v>
      </c>
      <c r="H6" s="47">
        <f t="shared" ca="1" si="0"/>
        <v>0</v>
      </c>
      <c r="J6" s="56" t="str">
        <f t="shared" ref="J6:J22" ca="1" si="1">IF(H6=0, ".",(E6/$H6))</f>
        <v>.</v>
      </c>
      <c r="K6" s="50" t="str">
        <f t="shared" ref="K6:K22" ca="1" si="2">IF(H6=0,".",(F6/$H6))</f>
        <v>.</v>
      </c>
      <c r="L6" s="50" t="str">
        <f t="shared" ref="L6:L22" ca="1" si="3">IF(H6=0,".",(G6/$H6))</f>
        <v>.</v>
      </c>
      <c r="M6" s="50" t="str">
        <f t="shared" ref="M6:M22" ca="1" si="4">IF(H6=0,".",(H6/$H6))</f>
        <v>.</v>
      </c>
    </row>
    <row r="7" spans="2:13" ht="27" customHeight="1" x14ac:dyDescent="0.35">
      <c r="B7" s="65" t="str">
        <f>'─&gt; Factor selection'!B9</f>
        <v>Cross-border areas adjacent to frequently cholera-affected areas or identified PAMIs in neighbouring country(ies)</v>
      </c>
      <c r="C7" s="67"/>
      <c r="E7" s="80">
        <f ca="1">COUNTIF(working_table[VF_03_chol_proximity], "missing_value")</f>
        <v>0</v>
      </c>
      <c r="F7" s="47">
        <f ca="1">COUNTIF(working_table[VF_03_chol_proximity], "No")</f>
        <v>0</v>
      </c>
      <c r="G7" s="47">
        <f ca="1">COUNTIF(working_table[VF_03_chol_proximity], "Yes")</f>
        <v>0</v>
      </c>
      <c r="H7" s="47">
        <f t="shared" ca="1" si="0"/>
        <v>0</v>
      </c>
      <c r="J7" s="56" t="str">
        <f t="shared" ca="1" si="1"/>
        <v>.</v>
      </c>
      <c r="K7" s="50" t="str">
        <f t="shared" ca="1" si="2"/>
        <v>.</v>
      </c>
      <c r="L7" s="50" t="str">
        <f t="shared" ca="1" si="3"/>
        <v>.</v>
      </c>
      <c r="M7" s="50" t="str">
        <f t="shared" ca="1" si="4"/>
        <v>.</v>
      </c>
    </row>
    <row r="8" spans="2:13" ht="27" customHeight="1" x14ac:dyDescent="0.35">
      <c r="B8" s="65" t="str">
        <f>'─&gt; Factor selection'!B10</f>
        <v>Location along major travel routes with transportation hubs</v>
      </c>
      <c r="C8" s="67"/>
      <c r="E8" s="80">
        <f ca="1">COUNTIF(working_table[VF_04_mov_pathw], "missing_value")</f>
        <v>0</v>
      </c>
      <c r="F8" s="47">
        <f ca="1">COUNTIF(working_table[VF_04_mov_pathw], "No")</f>
        <v>0</v>
      </c>
      <c r="G8" s="47">
        <f ca="1">COUNTIF(working_table[VF_04_mov_pathw], "Yes")</f>
        <v>0</v>
      </c>
      <c r="H8" s="47">
        <f t="shared" ca="1" si="0"/>
        <v>0</v>
      </c>
      <c r="J8" s="56" t="str">
        <f t="shared" ca="1" si="1"/>
        <v>.</v>
      </c>
      <c r="K8" s="50" t="str">
        <f t="shared" ca="1" si="2"/>
        <v>.</v>
      </c>
      <c r="L8" s="50" t="str">
        <f t="shared" ca="1" si="3"/>
        <v>.</v>
      </c>
      <c r="M8" s="50" t="str">
        <f t="shared" ca="1" si="4"/>
        <v>.</v>
      </c>
    </row>
    <row r="9" spans="2:13" ht="27" customHeight="1" x14ac:dyDescent="0.35">
      <c r="B9" s="65" t="str">
        <f>'─&gt; Factor selection'!B11</f>
        <v>Major population gatherings</v>
      </c>
      <c r="C9" s="67"/>
      <c r="E9" s="80">
        <f ca="1">COUNTIF(working_table[VF_05_pop_gathering], "missing_value")</f>
        <v>0</v>
      </c>
      <c r="F9" s="47">
        <f ca="1">COUNTIF(working_table[VF_05_pop_gathering], "No")</f>
        <v>0</v>
      </c>
      <c r="G9" s="47">
        <f ca="1">COUNTIF(working_table[VF_05_pop_gathering], "Yes")</f>
        <v>0</v>
      </c>
      <c r="H9" s="47">
        <f t="shared" ca="1" si="0"/>
        <v>0</v>
      </c>
      <c r="J9" s="56" t="str">
        <f t="shared" ca="1" si="1"/>
        <v>.</v>
      </c>
      <c r="K9" s="50" t="str">
        <f t="shared" ca="1" si="2"/>
        <v>.</v>
      </c>
      <c r="L9" s="50" t="str">
        <f t="shared" ca="1" si="3"/>
        <v>.</v>
      </c>
      <c r="M9" s="50" t="str">
        <f t="shared" ca="1" si="4"/>
        <v>.</v>
      </c>
    </row>
    <row r="10" spans="2:13" ht="27" customHeight="1" x14ac:dyDescent="0.35">
      <c r="B10" s="65" t="str">
        <f>'─&gt; Factor selection'!B12</f>
        <v>High population density locations or overcrowded settings</v>
      </c>
      <c r="C10" s="67"/>
      <c r="E10" s="80">
        <f ca="1">COUNTIF(working_table[VF_06_overcrowded_set], "missing_value")</f>
        <v>0</v>
      </c>
      <c r="F10" s="47">
        <f ca="1">COUNTIF(working_table[VF_06_overcrowded_set], "No")</f>
        <v>0</v>
      </c>
      <c r="G10" s="47">
        <f ca="1">COUNTIF(working_table[VF_06_overcrowded_set], "Yes")</f>
        <v>0</v>
      </c>
      <c r="H10" s="47">
        <f t="shared" ca="1" si="0"/>
        <v>0</v>
      </c>
      <c r="J10" s="56" t="str">
        <f t="shared" ca="1" si="1"/>
        <v>.</v>
      </c>
      <c r="K10" s="50" t="str">
        <f t="shared" ca="1" si="2"/>
        <v>.</v>
      </c>
      <c r="L10" s="50" t="str">
        <f t="shared" ca="1" si="3"/>
        <v>.</v>
      </c>
      <c r="M10" s="50" t="str">
        <f t="shared" ca="1" si="4"/>
        <v>.</v>
      </c>
    </row>
    <row r="11" spans="2:13" ht="27" customHeight="1" x14ac:dyDescent="0.35">
      <c r="B11" s="65" t="str">
        <f>'─&gt; Factor selection'!B13</f>
        <v>High-risk populations</v>
      </c>
      <c r="C11" s="67"/>
      <c r="E11" s="80">
        <f ca="1">COUNTIF(working_table[VF_07_high_risk_pop], "missing_value")</f>
        <v>0</v>
      </c>
      <c r="F11" s="47">
        <f ca="1">COUNTIF(working_table[VF_07_high_risk_pop], "No")</f>
        <v>0</v>
      </c>
      <c r="G11" s="47">
        <f ca="1">COUNTIF(working_table[VF_07_high_risk_pop], "Yes")</f>
        <v>0</v>
      </c>
      <c r="H11" s="47">
        <f t="shared" ca="1" si="0"/>
        <v>0</v>
      </c>
      <c r="J11" s="56" t="str">
        <f t="shared" ca="1" si="1"/>
        <v>.</v>
      </c>
      <c r="K11" s="50" t="str">
        <f t="shared" ca="1" si="2"/>
        <v>.</v>
      </c>
      <c r="L11" s="50" t="str">
        <f t="shared" ca="1" si="3"/>
        <v>.</v>
      </c>
      <c r="M11" s="50" t="str">
        <f t="shared" ca="1" si="4"/>
        <v>.</v>
      </c>
    </row>
    <row r="12" spans="2:13" ht="27" customHeight="1" x14ac:dyDescent="0.35">
      <c r="B12" s="65" t="str">
        <f>'─&gt; Factor selection'!B14</f>
        <v>Hard-to-access populations</v>
      </c>
      <c r="C12" s="67"/>
      <c r="E12" s="80">
        <f ca="1">COUNTIF(working_table[VF_08_hard_to_acc_risk_pop], "missing_value")</f>
        <v>0</v>
      </c>
      <c r="F12" s="47">
        <f ca="1">COUNTIF(working_table[VF_08_hard_to_acc_risk_pop], "No")</f>
        <v>0</v>
      </c>
      <c r="G12" s="47">
        <f ca="1">COUNTIF(working_table[VF_08_hard_to_acc_risk_pop], "Yes")</f>
        <v>0</v>
      </c>
      <c r="H12" s="47">
        <f t="shared" ca="1" si="0"/>
        <v>0</v>
      </c>
      <c r="J12" s="56" t="str">
        <f t="shared" ca="1" si="1"/>
        <v>.</v>
      </c>
      <c r="K12" s="50" t="str">
        <f t="shared" ca="1" si="2"/>
        <v>.</v>
      </c>
      <c r="L12" s="50" t="str">
        <f t="shared" ca="1" si="3"/>
        <v>.</v>
      </c>
      <c r="M12" s="50" t="str">
        <f t="shared" ca="1" si="4"/>
        <v>.</v>
      </c>
    </row>
    <row r="13" spans="2:13" ht="27" customHeight="1" x14ac:dyDescent="0.35">
      <c r="B13" s="65" t="str">
        <f>'─&gt; Factor selection'!B15</f>
        <v>Population that received oral cholera vaccine (OCV) more than three years ago</v>
      </c>
      <c r="C13" s="67"/>
      <c r="E13" s="80">
        <f ca="1">COUNTIF(working_table[VF_09_ocv], "missing_value")</f>
        <v>0</v>
      </c>
      <c r="F13" s="47">
        <f ca="1">COUNTIF(working_table[VF_09_ocv], "No")</f>
        <v>0</v>
      </c>
      <c r="G13" s="47">
        <f ca="1">COUNTIF(working_table[VF_09_ocv], "Yes")</f>
        <v>0</v>
      </c>
      <c r="H13" s="47">
        <f t="shared" ca="1" si="0"/>
        <v>0</v>
      </c>
      <c r="J13" s="56" t="str">
        <f t="shared" ca="1" si="1"/>
        <v>.</v>
      </c>
      <c r="K13" s="50" t="str">
        <f t="shared" ca="1" si="2"/>
        <v>.</v>
      </c>
      <c r="L13" s="50" t="str">
        <f t="shared" ca="1" si="3"/>
        <v>.</v>
      </c>
      <c r="M13" s="50" t="str">
        <f t="shared" ca="1" si="4"/>
        <v>.</v>
      </c>
    </row>
    <row r="14" spans="2:13" ht="27" customHeight="1" x14ac:dyDescent="0.35">
      <c r="B14" s="65" t="str">
        <f>'─&gt; Factor selection'!B16</f>
        <v>High-risk for extreme climate and weather conditions</v>
      </c>
      <c r="C14" s="67"/>
      <c r="E14" s="80">
        <f ca="1">COUNTIF(working_table[VF_10_climate_event], "missing_value")</f>
        <v>0</v>
      </c>
      <c r="F14" s="47">
        <f ca="1">COUNTIF(working_table[VF_10_climate_event], "No")</f>
        <v>0</v>
      </c>
      <c r="G14" s="47">
        <f ca="1">COUNTIF(working_table[VF_10_climate_event], "Yes")</f>
        <v>0</v>
      </c>
      <c r="H14" s="47">
        <f t="shared" ca="1" si="0"/>
        <v>0</v>
      </c>
      <c r="J14" s="56" t="str">
        <f t="shared" ca="1" si="1"/>
        <v>.</v>
      </c>
      <c r="K14" s="50" t="str">
        <f t="shared" ca="1" si="2"/>
        <v>.</v>
      </c>
      <c r="L14" s="50" t="str">
        <f t="shared" ca="1" si="3"/>
        <v>.</v>
      </c>
      <c r="M14" s="50" t="str">
        <f t="shared" ca="1" si="4"/>
        <v>.</v>
      </c>
    </row>
    <row r="15" spans="2:13" ht="27" customHeight="1" x14ac:dyDescent="0.35">
      <c r="B15" s="65" t="str">
        <f>'─&gt; Factor selection'!B17</f>
        <v>Complex humanitarian emergency</v>
      </c>
      <c r="C15" s="67"/>
      <c r="E15" s="80">
        <f ca="1">COUNTIF(working_table[VF_11_comp_humanit_emerg], "missing_value")</f>
        <v>0</v>
      </c>
      <c r="F15" s="47">
        <f ca="1">COUNTIF(working_table[VF_11_comp_humanit_emerg], "No")</f>
        <v>0</v>
      </c>
      <c r="G15" s="47">
        <f ca="1">COUNTIF(working_table[VF_11_comp_humanit_emerg], "Yes")</f>
        <v>0</v>
      </c>
      <c r="H15" s="47">
        <f t="shared" ca="1" si="0"/>
        <v>0</v>
      </c>
      <c r="J15" s="56" t="str">
        <f t="shared" ca="1" si="1"/>
        <v>.</v>
      </c>
      <c r="K15" s="50" t="str">
        <f t="shared" ca="1" si="2"/>
        <v>.</v>
      </c>
      <c r="L15" s="50" t="str">
        <f t="shared" ca="1" si="3"/>
        <v>.</v>
      </c>
      <c r="M15" s="50" t="str">
        <f t="shared" ca="1" si="4"/>
        <v>.</v>
      </c>
    </row>
    <row r="16" spans="2:13" ht="27" customHeight="1" x14ac:dyDescent="0.35">
      <c r="B16" s="65" t="str">
        <f>'─&gt; Factor selection'!B18</f>
        <v xml:space="preserve">Unimproved water </v>
      </c>
      <c r="C16" s="67"/>
      <c r="E16" s="80">
        <f ca="1">COUNTIF(working_table[VF_12_unimprov_water], "missing_value")</f>
        <v>0</v>
      </c>
      <c r="F16" s="47">
        <f ca="1">COUNTIF(working_table[VF_12_unimprov_water], "No")</f>
        <v>0</v>
      </c>
      <c r="G16" s="47">
        <f ca="1">COUNTIF(working_table[VF_12_unimprov_water], "Yes")</f>
        <v>0</v>
      </c>
      <c r="H16" s="47">
        <f t="shared" ca="1" si="0"/>
        <v>0</v>
      </c>
      <c r="J16" s="56" t="str">
        <f t="shared" ca="1" si="1"/>
        <v>.</v>
      </c>
      <c r="K16" s="50" t="str">
        <f t="shared" ca="1" si="2"/>
        <v>.</v>
      </c>
      <c r="L16" s="50" t="str">
        <f t="shared" ca="1" si="3"/>
        <v>.</v>
      </c>
      <c r="M16" s="50" t="str">
        <f t="shared" ca="1" si="4"/>
        <v>.</v>
      </c>
    </row>
    <row r="17" spans="2:13" ht="27" customHeight="1" x14ac:dyDescent="0.35">
      <c r="B17" s="65" t="str">
        <f>'─&gt; Factor selection'!B19</f>
        <v xml:space="preserve">Unimproved sanitation </v>
      </c>
      <c r="C17" s="67"/>
      <c r="E17" s="80">
        <f ca="1">COUNTIF(working_table[VF_13_unimprov_sanitat], "missing_value")</f>
        <v>0</v>
      </c>
      <c r="F17" s="47">
        <f ca="1">COUNTIF(working_table[VF_13_unimprov_sanitat], "No")</f>
        <v>0</v>
      </c>
      <c r="G17" s="47">
        <f ca="1">COUNTIF(working_table[VF_13_unimprov_sanitat], "Yes")</f>
        <v>0</v>
      </c>
      <c r="H17" s="47">
        <f t="shared" ca="1" si="0"/>
        <v>0</v>
      </c>
      <c r="J17" s="56" t="str">
        <f t="shared" ca="1" si="1"/>
        <v>.</v>
      </c>
      <c r="K17" s="50" t="str">
        <f t="shared" ca="1" si="2"/>
        <v>.</v>
      </c>
      <c r="L17" s="50" t="str">
        <f t="shared" ca="1" si="3"/>
        <v>.</v>
      </c>
      <c r="M17" s="50" t="str">
        <f t="shared" ca="1" si="4"/>
        <v>.</v>
      </c>
    </row>
    <row r="18" spans="2:13" ht="27" customHeight="1" x14ac:dyDescent="0.35">
      <c r="B18" s="65" t="str">
        <f>'─&gt; Factor selection'!B20</f>
        <v xml:space="preserve">Limited access to hygiene </v>
      </c>
      <c r="C18" s="67"/>
      <c r="E18" s="80">
        <f ca="1">COUNTIF(working_table[VF_14_limited_hygien], "missing_value")</f>
        <v>0</v>
      </c>
      <c r="F18" s="47">
        <f ca="1">COUNTIF(working_table[VF_14_limited_hygien], "No")</f>
        <v>0</v>
      </c>
      <c r="G18" s="47">
        <f ca="1">COUNTIF(working_table[VF_14_limited_hygien], "Yes")</f>
        <v>0</v>
      </c>
      <c r="H18" s="47">
        <f t="shared" ca="1" si="0"/>
        <v>0</v>
      </c>
      <c r="J18" s="56" t="str">
        <f t="shared" ca="1" si="1"/>
        <v>.</v>
      </c>
      <c r="K18" s="50" t="str">
        <f t="shared" ca="1" si="2"/>
        <v>.</v>
      </c>
      <c r="L18" s="50" t="str">
        <f t="shared" ca="1" si="3"/>
        <v>.</v>
      </c>
      <c r="M18" s="50" t="str">
        <f t="shared" ca="1" si="4"/>
        <v>.</v>
      </c>
    </row>
    <row r="19" spans="2:13" ht="27" customHeight="1" x14ac:dyDescent="0.35">
      <c r="B19" s="65" t="str">
        <f>'─&gt; Factor selection'!B21</f>
        <v>Additionnal country-specifc cholera vulnerability factor (1)</v>
      </c>
      <c r="C19" s="67"/>
      <c r="E19" s="80">
        <f ca="1">COUNTIF(working_table[VF_15_add_factor_1], "missing_value")</f>
        <v>0</v>
      </c>
      <c r="F19" s="47">
        <f ca="1">COUNTIF(working_table[VF_15_add_factor_1], "No")</f>
        <v>0</v>
      </c>
      <c r="G19" s="47">
        <f ca="1">COUNTIF(working_table[VF_15_add_factor_1], "Yes")</f>
        <v>0</v>
      </c>
      <c r="H19" s="47">
        <f t="shared" ca="1" si="0"/>
        <v>0</v>
      </c>
      <c r="J19" s="56" t="str">
        <f t="shared" ca="1" si="1"/>
        <v>.</v>
      </c>
      <c r="K19" s="50" t="str">
        <f t="shared" ca="1" si="2"/>
        <v>.</v>
      </c>
      <c r="L19" s="50" t="str">
        <f t="shared" ca="1" si="3"/>
        <v>.</v>
      </c>
      <c r="M19" s="50" t="str">
        <f t="shared" ca="1" si="4"/>
        <v>.</v>
      </c>
    </row>
    <row r="20" spans="2:13" ht="27" customHeight="1" x14ac:dyDescent="0.35">
      <c r="B20" s="65" t="str">
        <f>'─&gt; Factor selection'!B22</f>
        <v>Additionnal country-specifc cholera vulnerability factor (2)</v>
      </c>
      <c r="C20" s="67"/>
      <c r="E20" s="80">
        <f ca="1">COUNTIF(working_table[VF_16_add_factor_2], "missing_value")</f>
        <v>0</v>
      </c>
      <c r="F20" s="47">
        <f ca="1">COUNTIF(working_table[VF_16_add_factor_2], "No")</f>
        <v>0</v>
      </c>
      <c r="G20" s="47">
        <f ca="1">COUNTIF(working_table[VF_16_add_factor_2], "Yes")</f>
        <v>0</v>
      </c>
      <c r="H20" s="47">
        <f t="shared" ca="1" si="0"/>
        <v>0</v>
      </c>
      <c r="J20" s="56" t="str">
        <f t="shared" ca="1" si="1"/>
        <v>.</v>
      </c>
      <c r="K20" s="50" t="str">
        <f t="shared" ca="1" si="2"/>
        <v>.</v>
      </c>
      <c r="L20" s="50" t="str">
        <f t="shared" ca="1" si="3"/>
        <v>.</v>
      </c>
      <c r="M20" s="50" t="str">
        <f t="shared" ca="1" si="4"/>
        <v>.</v>
      </c>
    </row>
    <row r="21" spans="2:13" ht="27" customHeight="1" x14ac:dyDescent="0.35">
      <c r="B21" s="65" t="str">
        <f>'─&gt; Factor selection'!B23</f>
        <v>Additionnal country-specifc cholera vulnerability factor (3)</v>
      </c>
      <c r="C21" s="67"/>
      <c r="E21" s="81">
        <f ca="1">COUNTIF(working_table[VF_17_add_factor_3], "missing_value")</f>
        <v>0</v>
      </c>
      <c r="F21" s="54">
        <f ca="1">COUNTIF(working_table[VF_17_add_factor_3], "No")</f>
        <v>0</v>
      </c>
      <c r="G21" s="54">
        <f ca="1">COUNTIF(working_table[VF_17_add_factor_3], "Yes")</f>
        <v>0</v>
      </c>
      <c r="H21" s="54">
        <f t="shared" ca="1" si="0"/>
        <v>0</v>
      </c>
      <c r="J21" s="56" t="str">
        <f t="shared" ca="1" si="1"/>
        <v>.</v>
      </c>
      <c r="K21" s="50" t="str">
        <f t="shared" ca="1" si="2"/>
        <v>.</v>
      </c>
      <c r="L21" s="50" t="str">
        <f t="shared" ca="1" si="3"/>
        <v>.</v>
      </c>
      <c r="M21" s="50" t="str">
        <f t="shared" ca="1" si="4"/>
        <v>.</v>
      </c>
    </row>
    <row r="22" spans="2:13" ht="27" customHeight="1" thickBot="1" x14ac:dyDescent="0.4">
      <c r="B22" s="66" t="str">
        <f>'─&gt; Factor selection'!B24</f>
        <v>Additionnal country-specifc cholera vulnerability factor (4)</v>
      </c>
      <c r="C22" s="68"/>
      <c r="E22" s="82">
        <f ca="1">COUNTIF(working_table[VF_18_add_factor_4], "missing_value")</f>
        <v>0</v>
      </c>
      <c r="F22" s="55">
        <f ca="1">COUNTIF(working_table[VF_18_add_factor_4], "No")</f>
        <v>0</v>
      </c>
      <c r="G22" s="55">
        <f ca="1">COUNTIF(working_table[VF_18_add_factor_4], "Yes")</f>
        <v>0</v>
      </c>
      <c r="H22" s="55">
        <f t="shared" ca="1" si="0"/>
        <v>0</v>
      </c>
      <c r="J22" s="57" t="str">
        <f t="shared" ca="1" si="1"/>
        <v>.</v>
      </c>
      <c r="K22" s="53" t="str">
        <f t="shared" ca="1" si="2"/>
        <v>.</v>
      </c>
      <c r="L22" s="53" t="str">
        <f t="shared" ca="1" si="3"/>
        <v>.</v>
      </c>
      <c r="M22" s="53" t="str">
        <f t="shared" ca="1" si="4"/>
        <v>.</v>
      </c>
    </row>
  </sheetData>
  <sheetProtection algorithmName="SHA-512" hashValue="NOxmkkUCMiOpWbWWskkLgCS0nFXdzjgwr6MVz3Vkfhk+EEUCzhNBb+33FbZEvvFIyaxmPA8EwbqVUar5OnXTKw==" saltValue="3xJ/Efb5GkAt/z2ISflgww==" spinCount="100000" sheet="1" objects="1" scenarios="1"/>
  <mergeCells count="2">
    <mergeCell ref="E2:H2"/>
    <mergeCell ref="J2:M2"/>
  </mergeCells>
  <conditionalFormatting sqref="E5:E22">
    <cfRule type="cellIs" dxfId="49" priority="22" operator="greaterThan">
      <formula>0</formula>
    </cfRule>
    <cfRule type="dataBar" priority="23">
      <dataBar>
        <cfvo type="min"/>
        <cfvo type="max"/>
        <color rgb="FFFB8072"/>
      </dataBar>
      <extLst>
        <ext xmlns:x14="http://schemas.microsoft.com/office/spreadsheetml/2009/9/main" uri="{B025F937-C7B1-47D3-B67F-A62EFF666E3E}">
          <x14:id>{E99C776E-3F60-4FD2-A116-FC35B176AE1A}</x14:id>
        </ext>
      </extLst>
    </cfRule>
  </conditionalFormatting>
  <conditionalFormatting sqref="J5">
    <cfRule type="expression" dxfId="48" priority="20">
      <formula>$E$5&gt;0</formula>
    </cfRule>
  </conditionalFormatting>
  <conditionalFormatting sqref="J6">
    <cfRule type="expression" dxfId="47" priority="19">
      <formula>$E$6&gt;0</formula>
    </cfRule>
  </conditionalFormatting>
  <conditionalFormatting sqref="J7">
    <cfRule type="expression" dxfId="46" priority="18">
      <formula>$E$7&gt;0</formula>
    </cfRule>
  </conditionalFormatting>
  <conditionalFormatting sqref="J8">
    <cfRule type="expression" dxfId="45" priority="17">
      <formula>$E$8&gt;0</formula>
    </cfRule>
  </conditionalFormatting>
  <conditionalFormatting sqref="J9">
    <cfRule type="expression" dxfId="44" priority="16">
      <formula>$E$9&gt;0</formula>
    </cfRule>
  </conditionalFormatting>
  <conditionalFormatting sqref="J10">
    <cfRule type="expression" dxfId="43" priority="15">
      <formula>$E$10&gt;0</formula>
    </cfRule>
  </conditionalFormatting>
  <conditionalFormatting sqref="J11">
    <cfRule type="expression" dxfId="42" priority="12">
      <formula>$E$11&gt;0</formula>
    </cfRule>
  </conditionalFormatting>
  <conditionalFormatting sqref="J12">
    <cfRule type="expression" dxfId="41" priority="11">
      <formula>$E$12&gt;0</formula>
    </cfRule>
  </conditionalFormatting>
  <conditionalFormatting sqref="J13">
    <cfRule type="expression" dxfId="40" priority="10">
      <formula>$E$13&gt;0</formula>
    </cfRule>
  </conditionalFormatting>
  <conditionalFormatting sqref="J14">
    <cfRule type="expression" dxfId="39" priority="9">
      <formula>$E$14&gt;0</formula>
    </cfRule>
  </conditionalFormatting>
  <conditionalFormatting sqref="J15">
    <cfRule type="expression" dxfId="38" priority="8">
      <formula>$E$15&gt;0</formula>
    </cfRule>
  </conditionalFormatting>
  <conditionalFormatting sqref="J16">
    <cfRule type="expression" dxfId="37" priority="7">
      <formula>$E$16&gt;0</formula>
    </cfRule>
  </conditionalFormatting>
  <conditionalFormatting sqref="J17">
    <cfRule type="expression" dxfId="36" priority="6">
      <formula>$E$17&gt;0</formula>
    </cfRule>
  </conditionalFormatting>
  <conditionalFormatting sqref="J18">
    <cfRule type="expression" dxfId="35" priority="5">
      <formula>$E$18&gt;0</formula>
    </cfRule>
  </conditionalFormatting>
  <conditionalFormatting sqref="J19">
    <cfRule type="expression" dxfId="34" priority="4">
      <formula>$E$19&gt;0</formula>
    </cfRule>
  </conditionalFormatting>
  <conditionalFormatting sqref="J20">
    <cfRule type="expression" dxfId="33" priority="3">
      <formula>$E$20&gt;0</formula>
    </cfRule>
  </conditionalFormatting>
  <conditionalFormatting sqref="J21">
    <cfRule type="expression" dxfId="32" priority="2">
      <formula>$E$21&gt;0</formula>
    </cfRule>
  </conditionalFormatting>
  <conditionalFormatting sqref="J22">
    <cfRule type="expression" dxfId="31" priority="1">
      <formula>$E$22&gt;0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9C776E-3F60-4FD2-A116-FC35B176AE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E5:E22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1C56-2951-410E-80C6-1DB9B5A38408}">
  <sheetPr>
    <tabColor rgb="FF009999"/>
  </sheetPr>
  <dimension ref="A1:X2"/>
  <sheetViews>
    <sheetView showGridLines="0" topLeftCell="I1" zoomScale="70" zoomScaleNormal="70" workbookViewId="0">
      <selection activeCell="W8" sqref="W8"/>
    </sheetView>
  </sheetViews>
  <sheetFormatPr defaultColWidth="11.54296875" defaultRowHeight="14.5" x14ac:dyDescent="0.35"/>
  <cols>
    <col min="1" max="24" width="13.7265625" bestFit="1" customWidth="1"/>
  </cols>
  <sheetData>
    <row r="1" spans="1:24" ht="120" x14ac:dyDescent="0.35">
      <c r="A1" s="42" t="s">
        <v>98</v>
      </c>
      <c r="B1" s="42" t="s">
        <v>99</v>
      </c>
      <c r="C1" s="42" t="s">
        <v>100</v>
      </c>
      <c r="D1" s="42" t="s">
        <v>101</v>
      </c>
      <c r="E1" s="43" t="s">
        <v>47</v>
      </c>
      <c r="F1" s="44" t="s">
        <v>51</v>
      </c>
      <c r="G1" s="44" t="s">
        <v>55</v>
      </c>
      <c r="H1" s="44" t="s">
        <v>58</v>
      </c>
      <c r="I1" s="44" t="s">
        <v>61</v>
      </c>
      <c r="J1" s="44" t="s">
        <v>64</v>
      </c>
      <c r="K1" s="44" t="s">
        <v>67</v>
      </c>
      <c r="L1" s="44" t="s">
        <v>70</v>
      </c>
      <c r="M1" s="44" t="s">
        <v>72</v>
      </c>
      <c r="N1" s="44" t="s">
        <v>75</v>
      </c>
      <c r="O1" s="44" t="s">
        <v>78</v>
      </c>
      <c r="P1" s="44" t="s">
        <v>81</v>
      </c>
      <c r="Q1" s="44" t="s">
        <v>84</v>
      </c>
      <c r="R1" s="44" t="s">
        <v>87</v>
      </c>
      <c r="S1" s="44" t="s">
        <v>90</v>
      </c>
      <c r="T1" s="44" t="s">
        <v>93</v>
      </c>
      <c r="U1" s="44" t="s">
        <v>95</v>
      </c>
      <c r="V1" s="44" t="s">
        <v>97</v>
      </c>
      <c r="W1" s="42" t="s">
        <v>102</v>
      </c>
      <c r="X1" s="45" t="s">
        <v>179</v>
      </c>
    </row>
    <row r="2" spans="1:24" x14ac:dyDescent="0.35">
      <c r="A2" s="85"/>
      <c r="B2" s="85"/>
      <c r="C2" s="85"/>
      <c r="D2" s="85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46">
        <v>0</v>
      </c>
      <c r="X2" s="41"/>
    </row>
  </sheetData>
  <phoneticPr fontId="4" type="noConversion"/>
  <conditionalFormatting sqref="E2:R2">
    <cfRule type="containsText" dxfId="30" priority="9" operator="containsText" text="Missing_value">
      <formula>NOT(ISERROR(SEARCH("Missing_value",E2)))</formula>
    </cfRule>
    <cfRule type="containsText" dxfId="29" priority="10" operator="containsText" text="Yes">
      <formula>NOT(ISERROR(SEARCH("Yes",E2)))</formula>
    </cfRule>
  </conditionalFormatting>
  <conditionalFormatting sqref="S2:V2">
    <cfRule type="containsText" dxfId="28" priority="5" operator="containsText" text="Not_included">
      <formula>NOT(ISERROR(SEARCH("Not_included",S2)))</formula>
    </cfRule>
  </conditionalFormatting>
  <conditionalFormatting sqref="W2">
    <cfRule type="cellIs" dxfId="27" priority="3" operator="greaterThan">
      <formula>0</formula>
    </cfRule>
    <cfRule type="iconSet" priority="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X2">
    <cfRule type="containsText" dxfId="26" priority="1" operator="containsText" text="Initial PAMI">
      <formula>NOT(ISERROR(SEARCH("Initial PAMI",X2)))</formula>
    </cfRule>
    <cfRule type="colorScale" priority="2">
      <colorScale>
        <cfvo type="min"/>
        <cfvo type="percentile" val="50"/>
        <cfvo type="max"/>
        <color rgb="FF0070C0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22B4-A08A-492D-8051-CB54BC76227A}">
  <sheetPr codeName="Sheet7">
    <tabColor theme="2" tint="-9.9978637043366805E-2"/>
  </sheetPr>
  <dimension ref="A1:AC136"/>
  <sheetViews>
    <sheetView workbookViewId="0">
      <selection activeCell="H10" sqref="H10"/>
    </sheetView>
  </sheetViews>
  <sheetFormatPr defaultColWidth="9.1796875" defaultRowHeight="14.5" x14ac:dyDescent="0.35"/>
  <cols>
    <col min="1" max="1" width="27.26953125" style="4" bestFit="1" customWidth="1"/>
    <col min="2" max="2" width="24.453125" style="4" customWidth="1"/>
    <col min="3" max="3" width="43" style="4" bestFit="1" customWidth="1"/>
    <col min="4" max="4" width="6" style="4" customWidth="1"/>
    <col min="5" max="5" width="34.81640625" style="4" bestFit="1" customWidth="1"/>
    <col min="6" max="6" width="6" style="4" customWidth="1"/>
    <col min="7" max="7" width="34.81640625" style="4" customWidth="1"/>
    <col min="8" max="8" width="6" style="4" customWidth="1"/>
    <col min="9" max="9" width="5.54296875" style="4" customWidth="1"/>
    <col min="10" max="10" width="22.81640625" style="4" bestFit="1" customWidth="1"/>
    <col min="11" max="11" width="11.81640625" style="4" bestFit="1" customWidth="1"/>
    <col min="12" max="12" width="17.7265625" style="4" bestFit="1" customWidth="1"/>
    <col min="13" max="13" width="11.54296875" style="4" bestFit="1" customWidth="1"/>
    <col min="14" max="14" width="17.453125" style="4" bestFit="1" customWidth="1"/>
    <col min="15" max="15" width="13.54296875" style="4" bestFit="1" customWidth="1"/>
    <col min="16" max="16" width="19.54296875" style="4" bestFit="1" customWidth="1"/>
    <col min="17" max="17" width="25.1796875" style="4" bestFit="1" customWidth="1"/>
    <col min="18" max="18" width="19.7265625" style="4" bestFit="1" customWidth="1"/>
    <col min="19" max="19" width="21" style="4" bestFit="1" customWidth="1"/>
    <col min="20" max="20" width="23.453125" style="4" bestFit="1" customWidth="1"/>
    <col min="21" max="21" width="16" style="4" bestFit="1" customWidth="1"/>
    <col min="22" max="22" width="20.453125" style="4" bestFit="1" customWidth="1"/>
    <col min="23" max="23" width="21.26953125" style="4" bestFit="1" customWidth="1"/>
    <col min="24" max="24" width="27.453125" style="4" bestFit="1" customWidth="1"/>
    <col min="25" max="25" width="20.81640625" style="4" bestFit="1" customWidth="1"/>
    <col min="26" max="26" width="27.54296875" style="4" bestFit="1" customWidth="1"/>
    <col min="27" max="27" width="23.453125" style="4" bestFit="1" customWidth="1"/>
    <col min="28" max="28" width="29.54296875" style="4" bestFit="1" customWidth="1"/>
    <col min="29" max="29" width="28.26953125" style="4" bestFit="1" customWidth="1"/>
    <col min="30" max="16384" width="9.1796875" style="4"/>
  </cols>
  <sheetData>
    <row r="1" spans="1:8" x14ac:dyDescent="0.35">
      <c r="A1" s="7"/>
      <c r="B1" s="7"/>
      <c r="C1" s="7"/>
      <c r="D1" s="7"/>
    </row>
    <row r="2" spans="1:8" x14ac:dyDescent="0.35">
      <c r="A2" s="182" t="s">
        <v>121</v>
      </c>
      <c r="B2" s="183"/>
      <c r="C2" s="184"/>
      <c r="D2" s="26"/>
      <c r="E2" s="4" t="s">
        <v>122</v>
      </c>
    </row>
    <row r="3" spans="1:8" x14ac:dyDescent="0.35">
      <c r="A3" s="7"/>
      <c r="B3" s="7"/>
      <c r="C3" s="7"/>
      <c r="D3" s="7"/>
    </row>
    <row r="4" spans="1:8" ht="75" customHeight="1" x14ac:dyDescent="0.35">
      <c r="A4" s="29" t="s">
        <v>123</v>
      </c>
      <c r="B4" s="29" t="s">
        <v>124</v>
      </c>
      <c r="C4" s="29" t="s">
        <v>125</v>
      </c>
      <c r="D4" s="30"/>
      <c r="E4" s="29" t="s">
        <v>126</v>
      </c>
      <c r="F4" s="30"/>
      <c r="G4" s="29" t="s">
        <v>127</v>
      </c>
      <c r="H4" s="30"/>
    </row>
    <row r="5" spans="1:8" x14ac:dyDescent="0.35">
      <c r="A5" s="28" t="s">
        <v>98</v>
      </c>
      <c r="B5" s="28" t="s">
        <v>128</v>
      </c>
      <c r="C5" s="28" t="s">
        <v>129</v>
      </c>
      <c r="D5" s="5"/>
      <c r="E5" s="23" t="s">
        <v>130</v>
      </c>
      <c r="F5" s="5"/>
      <c r="G5" s="27" t="s">
        <v>52</v>
      </c>
    </row>
    <row r="6" spans="1:8" x14ac:dyDescent="0.35">
      <c r="A6" s="28" t="s">
        <v>99</v>
      </c>
      <c r="B6" s="28" t="s">
        <v>131</v>
      </c>
      <c r="C6" s="28" t="s">
        <v>132</v>
      </c>
      <c r="D6" s="5"/>
      <c r="E6" s="23" t="s">
        <v>133</v>
      </c>
      <c r="F6" s="5"/>
      <c r="G6" s="27" t="s">
        <v>91</v>
      </c>
    </row>
    <row r="7" spans="1:8" x14ac:dyDescent="0.35">
      <c r="A7" s="28" t="s">
        <v>100</v>
      </c>
      <c r="B7" s="28" t="s">
        <v>134</v>
      </c>
      <c r="C7" s="28" t="s">
        <v>135</v>
      </c>
      <c r="D7" s="5"/>
      <c r="F7" s="5"/>
    </row>
    <row r="8" spans="1:8" x14ac:dyDescent="0.35">
      <c r="A8" s="28" t="s">
        <v>136</v>
      </c>
      <c r="B8" s="28" t="s">
        <v>137</v>
      </c>
      <c r="C8" s="28" t="s">
        <v>138</v>
      </c>
      <c r="D8" s="5"/>
      <c r="F8" s="5"/>
    </row>
    <row r="9" spans="1:8" x14ac:dyDescent="0.35">
      <c r="A9" s="28" t="s">
        <v>47</v>
      </c>
      <c r="B9" s="28" t="s">
        <v>139</v>
      </c>
      <c r="C9" s="28" t="s">
        <v>140</v>
      </c>
      <c r="D9" s="5"/>
      <c r="F9" s="5"/>
    </row>
    <row r="10" spans="1:8" x14ac:dyDescent="0.35">
      <c r="A10" s="28" t="s">
        <v>51</v>
      </c>
      <c r="B10" s="28" t="s">
        <v>141</v>
      </c>
      <c r="C10" s="28" t="s">
        <v>142</v>
      </c>
      <c r="D10" s="5"/>
      <c r="F10" s="5"/>
    </row>
    <row r="11" spans="1:8" x14ac:dyDescent="0.35">
      <c r="A11" s="28" t="s">
        <v>55</v>
      </c>
      <c r="B11" s="28" t="s">
        <v>143</v>
      </c>
      <c r="C11" s="28" t="s">
        <v>144</v>
      </c>
      <c r="D11" s="5"/>
      <c r="F11" s="5"/>
    </row>
    <row r="12" spans="1:8" x14ac:dyDescent="0.35">
      <c r="A12" s="28" t="s">
        <v>58</v>
      </c>
      <c r="B12" s="28" t="s">
        <v>145</v>
      </c>
      <c r="C12" s="28" t="s">
        <v>146</v>
      </c>
      <c r="D12" s="5"/>
      <c r="F12" s="5"/>
    </row>
    <row r="13" spans="1:8" x14ac:dyDescent="0.35">
      <c r="A13" s="28" t="s">
        <v>61</v>
      </c>
      <c r="B13" s="28" t="s">
        <v>147</v>
      </c>
      <c r="C13" s="28" t="s">
        <v>148</v>
      </c>
      <c r="D13" s="5"/>
      <c r="F13" s="5"/>
    </row>
    <row r="14" spans="1:8" x14ac:dyDescent="0.35">
      <c r="A14" s="28" t="s">
        <v>64</v>
      </c>
      <c r="B14" s="28" t="s">
        <v>149</v>
      </c>
      <c r="C14" s="28" t="s">
        <v>150</v>
      </c>
      <c r="D14" s="5"/>
      <c r="F14" s="5"/>
    </row>
    <row r="15" spans="1:8" x14ac:dyDescent="0.35">
      <c r="A15" s="28" t="s">
        <v>67</v>
      </c>
      <c r="B15" s="28" t="s">
        <v>151</v>
      </c>
      <c r="C15" s="28" t="s">
        <v>152</v>
      </c>
      <c r="D15" s="5"/>
      <c r="F15" s="5"/>
    </row>
    <row r="16" spans="1:8" x14ac:dyDescent="0.35">
      <c r="A16" s="28" t="s">
        <v>70</v>
      </c>
      <c r="B16" s="28" t="s">
        <v>153</v>
      </c>
      <c r="C16" s="28" t="s">
        <v>154</v>
      </c>
      <c r="D16" s="5"/>
      <c r="F16" s="5"/>
    </row>
    <row r="17" spans="1:6" x14ac:dyDescent="0.35">
      <c r="A17" s="28" t="s">
        <v>72</v>
      </c>
      <c r="B17" s="28" t="s">
        <v>155</v>
      </c>
      <c r="C17" s="28" t="s">
        <v>156</v>
      </c>
      <c r="D17" s="5"/>
      <c r="F17" s="5"/>
    </row>
    <row r="18" spans="1:6" x14ac:dyDescent="0.35">
      <c r="A18" s="28" t="s">
        <v>75</v>
      </c>
      <c r="B18" s="28" t="s">
        <v>157</v>
      </c>
      <c r="C18" s="28" t="s">
        <v>158</v>
      </c>
      <c r="D18" s="5"/>
      <c r="F18" s="5"/>
    </row>
    <row r="19" spans="1:6" x14ac:dyDescent="0.35">
      <c r="A19" s="28" t="s">
        <v>78</v>
      </c>
      <c r="B19" s="28" t="s">
        <v>159</v>
      </c>
      <c r="C19" s="28" t="s">
        <v>160</v>
      </c>
      <c r="D19" s="5"/>
      <c r="F19" s="5"/>
    </row>
    <row r="20" spans="1:6" x14ac:dyDescent="0.35">
      <c r="A20" s="28" t="s">
        <v>81</v>
      </c>
      <c r="B20" s="28" t="s">
        <v>161</v>
      </c>
      <c r="C20" s="28" t="s">
        <v>162</v>
      </c>
      <c r="D20" s="5"/>
      <c r="F20" s="5"/>
    </row>
    <row r="21" spans="1:6" x14ac:dyDescent="0.35">
      <c r="A21" s="28" t="s">
        <v>84</v>
      </c>
      <c r="B21" s="28" t="s">
        <v>163</v>
      </c>
      <c r="C21" s="28" t="s">
        <v>164</v>
      </c>
    </row>
    <row r="22" spans="1:6" x14ac:dyDescent="0.35">
      <c r="A22" s="28" t="s">
        <v>87</v>
      </c>
      <c r="B22" s="28" t="s">
        <v>165</v>
      </c>
      <c r="C22" s="28" t="s">
        <v>166</v>
      </c>
    </row>
    <row r="23" spans="1:6" x14ac:dyDescent="0.35">
      <c r="A23" s="28" t="s">
        <v>90</v>
      </c>
      <c r="B23" s="28" t="s">
        <v>167</v>
      </c>
      <c r="C23" s="28" t="s">
        <v>168</v>
      </c>
    </row>
    <row r="24" spans="1:6" x14ac:dyDescent="0.35">
      <c r="A24" s="28" t="s">
        <v>93</v>
      </c>
      <c r="B24" s="28" t="s">
        <v>169</v>
      </c>
      <c r="C24" s="28" t="s">
        <v>170</v>
      </c>
    </row>
    <row r="25" spans="1:6" x14ac:dyDescent="0.35">
      <c r="A25" s="28" t="s">
        <v>95</v>
      </c>
      <c r="B25" s="28" t="s">
        <v>171</v>
      </c>
      <c r="C25" s="28" t="s">
        <v>172</v>
      </c>
    </row>
    <row r="26" spans="1:6" x14ac:dyDescent="0.35">
      <c r="A26" s="28" t="s">
        <v>97</v>
      </c>
      <c r="B26" s="28" t="s">
        <v>173</v>
      </c>
      <c r="C26" s="28" t="s">
        <v>174</v>
      </c>
    </row>
    <row r="36" spans="3:29" x14ac:dyDescent="0.35"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</row>
    <row r="37" spans="3:29" x14ac:dyDescent="0.35">
      <c r="AC37" s="8"/>
    </row>
    <row r="38" spans="3:29" x14ac:dyDescent="0.35">
      <c r="AC38" s="8"/>
    </row>
    <row r="39" spans="3:29" x14ac:dyDescent="0.35">
      <c r="AC39" s="8"/>
    </row>
    <row r="40" spans="3:29" x14ac:dyDescent="0.35">
      <c r="AC40" s="8"/>
    </row>
    <row r="41" spans="3:29" x14ac:dyDescent="0.35">
      <c r="AC41" s="8"/>
    </row>
    <row r="42" spans="3:29" x14ac:dyDescent="0.35">
      <c r="AC42" s="8"/>
    </row>
    <row r="43" spans="3:29" x14ac:dyDescent="0.35">
      <c r="AC43" s="8"/>
    </row>
    <row r="44" spans="3:29" x14ac:dyDescent="0.35">
      <c r="AC44" s="8"/>
    </row>
    <row r="45" spans="3:29" x14ac:dyDescent="0.35">
      <c r="AC45" s="8"/>
    </row>
    <row r="46" spans="3:29" x14ac:dyDescent="0.35">
      <c r="C46" s="5"/>
      <c r="D46" s="5"/>
      <c r="AC46" s="8"/>
    </row>
    <row r="47" spans="3:29" x14ac:dyDescent="0.35">
      <c r="C47" s="5"/>
      <c r="D47" s="5"/>
      <c r="AC47" s="8"/>
    </row>
    <row r="48" spans="3:29" x14ac:dyDescent="0.35">
      <c r="C48" s="5"/>
      <c r="D48" s="5"/>
      <c r="AC48" s="8"/>
    </row>
    <row r="49" spans="3:29" x14ac:dyDescent="0.35">
      <c r="C49" s="5"/>
      <c r="D49" s="5"/>
      <c r="AC49" s="8"/>
    </row>
    <row r="50" spans="3:29" x14ac:dyDescent="0.35">
      <c r="C50" s="5"/>
      <c r="D50" s="5"/>
      <c r="AC50" s="8"/>
    </row>
    <row r="51" spans="3:29" x14ac:dyDescent="0.35">
      <c r="C51" s="5"/>
      <c r="D51" s="5"/>
      <c r="AC51" s="8"/>
    </row>
    <row r="52" spans="3:29" x14ac:dyDescent="0.35">
      <c r="C52" s="5"/>
      <c r="D52" s="5"/>
      <c r="AC52" s="8"/>
    </row>
    <row r="53" spans="3:29" x14ac:dyDescent="0.35">
      <c r="C53" s="5"/>
      <c r="D53" s="5"/>
      <c r="AC53" s="8"/>
    </row>
    <row r="54" spans="3:29" x14ac:dyDescent="0.35">
      <c r="C54" s="5"/>
      <c r="D54" s="5"/>
      <c r="AC54" s="8"/>
    </row>
    <row r="55" spans="3:29" x14ac:dyDescent="0.35">
      <c r="C55" s="5"/>
      <c r="D55" s="5"/>
      <c r="AC55" s="8"/>
    </row>
    <row r="56" spans="3:29" x14ac:dyDescent="0.35">
      <c r="C56" s="5"/>
      <c r="D56" s="5"/>
      <c r="AC56" s="8"/>
    </row>
    <row r="57" spans="3:29" x14ac:dyDescent="0.35">
      <c r="C57" s="5"/>
      <c r="D57" s="5"/>
      <c r="AC57" s="8"/>
    </row>
    <row r="58" spans="3:29" x14ac:dyDescent="0.35">
      <c r="C58" s="5"/>
      <c r="D58" s="5"/>
      <c r="AC58" s="8"/>
    </row>
    <row r="59" spans="3:29" x14ac:dyDescent="0.35">
      <c r="C59" s="5"/>
      <c r="D59" s="5"/>
      <c r="AC59" s="8"/>
    </row>
    <row r="60" spans="3:29" x14ac:dyDescent="0.35">
      <c r="C60" s="5"/>
      <c r="D60" s="5"/>
      <c r="AC60" s="8"/>
    </row>
    <row r="61" spans="3:29" x14ac:dyDescent="0.35">
      <c r="C61" s="5"/>
      <c r="D61" s="5"/>
      <c r="AC61" s="8"/>
    </row>
    <row r="62" spans="3:29" x14ac:dyDescent="0.35">
      <c r="C62" s="5"/>
      <c r="D62" s="5"/>
      <c r="AC62" s="8"/>
    </row>
    <row r="63" spans="3:29" x14ac:dyDescent="0.35">
      <c r="C63" s="5"/>
      <c r="D63" s="5"/>
      <c r="AC63" s="8"/>
    </row>
    <row r="64" spans="3:29" x14ac:dyDescent="0.35">
      <c r="C64" s="5"/>
      <c r="D64" s="5"/>
      <c r="AC64" s="8"/>
    </row>
    <row r="65" spans="3:29" x14ac:dyDescent="0.35">
      <c r="C65" s="5"/>
      <c r="D65" s="5"/>
      <c r="AC65" s="8"/>
    </row>
    <row r="66" spans="3:29" x14ac:dyDescent="0.35">
      <c r="C66" s="5"/>
      <c r="D66" s="5"/>
      <c r="AC66" s="8"/>
    </row>
    <row r="67" spans="3:29" x14ac:dyDescent="0.35">
      <c r="C67" s="5"/>
      <c r="D67" s="5"/>
      <c r="AC67" s="8"/>
    </row>
    <row r="68" spans="3:29" x14ac:dyDescent="0.35">
      <c r="C68" s="5"/>
      <c r="D68" s="5"/>
      <c r="AC68" s="8"/>
    </row>
    <row r="69" spans="3:29" x14ac:dyDescent="0.35">
      <c r="C69" s="5"/>
      <c r="D69" s="5"/>
      <c r="AC69" s="8"/>
    </row>
    <row r="70" spans="3:29" x14ac:dyDescent="0.35">
      <c r="C70" s="5"/>
      <c r="D70" s="5"/>
      <c r="AC70" s="8"/>
    </row>
    <row r="71" spans="3:29" x14ac:dyDescent="0.35">
      <c r="C71" s="5"/>
      <c r="D71" s="5"/>
      <c r="AC71" s="8"/>
    </row>
    <row r="72" spans="3:29" x14ac:dyDescent="0.35">
      <c r="C72" s="5"/>
      <c r="D72" s="5"/>
      <c r="AC72" s="8"/>
    </row>
    <row r="73" spans="3:29" x14ac:dyDescent="0.35">
      <c r="C73" s="5"/>
      <c r="D73" s="5"/>
      <c r="AC73" s="8"/>
    </row>
    <row r="74" spans="3:29" x14ac:dyDescent="0.35">
      <c r="C74" s="5"/>
      <c r="D74" s="5"/>
      <c r="AC74" s="8"/>
    </row>
    <row r="75" spans="3:29" x14ac:dyDescent="0.35">
      <c r="C75" s="5"/>
      <c r="D75" s="5"/>
      <c r="AC75" s="8"/>
    </row>
    <row r="76" spans="3:29" x14ac:dyDescent="0.35">
      <c r="C76" s="5"/>
      <c r="D76" s="5"/>
      <c r="AC76" s="8"/>
    </row>
    <row r="77" spans="3:29" x14ac:dyDescent="0.35">
      <c r="C77" s="5"/>
      <c r="D77" s="5"/>
      <c r="AC77" s="8"/>
    </row>
    <row r="78" spans="3:29" x14ac:dyDescent="0.35">
      <c r="C78" s="5"/>
      <c r="D78" s="5"/>
      <c r="AC78" s="8"/>
    </row>
    <row r="79" spans="3:29" x14ac:dyDescent="0.35">
      <c r="C79" s="5"/>
      <c r="D79" s="5"/>
      <c r="AC79" s="8"/>
    </row>
    <row r="80" spans="3:29" x14ac:dyDescent="0.35">
      <c r="C80" s="5"/>
      <c r="D80" s="5"/>
      <c r="AC80" s="8"/>
    </row>
    <row r="81" spans="3:29" x14ac:dyDescent="0.35">
      <c r="C81" s="5"/>
      <c r="D81" s="5"/>
      <c r="AC81" s="8"/>
    </row>
    <row r="82" spans="3:29" x14ac:dyDescent="0.35">
      <c r="C82" s="5"/>
      <c r="D82" s="5"/>
      <c r="AC82" s="8"/>
    </row>
    <row r="83" spans="3:29" x14ac:dyDescent="0.35">
      <c r="C83" s="5"/>
      <c r="D83" s="5"/>
      <c r="AC83" s="8"/>
    </row>
    <row r="84" spans="3:29" x14ac:dyDescent="0.35">
      <c r="C84" s="5"/>
      <c r="D84" s="5"/>
      <c r="AC84" s="8"/>
    </row>
    <row r="85" spans="3:29" x14ac:dyDescent="0.35">
      <c r="C85" s="5"/>
      <c r="D85" s="5"/>
      <c r="AC85" s="8"/>
    </row>
    <row r="86" spans="3:29" x14ac:dyDescent="0.35">
      <c r="C86" s="5"/>
      <c r="D86" s="5"/>
      <c r="AC86" s="8"/>
    </row>
    <row r="87" spans="3:29" x14ac:dyDescent="0.35">
      <c r="C87" s="5"/>
      <c r="D87" s="5"/>
      <c r="AC87" s="8"/>
    </row>
    <row r="88" spans="3:29" x14ac:dyDescent="0.35">
      <c r="C88" s="5"/>
      <c r="D88" s="5"/>
      <c r="AC88" s="8"/>
    </row>
    <row r="89" spans="3:29" x14ac:dyDescent="0.35">
      <c r="C89" s="5"/>
      <c r="D89" s="5"/>
      <c r="AC89" s="8"/>
    </row>
    <row r="90" spans="3:29" x14ac:dyDescent="0.35">
      <c r="C90" s="5"/>
      <c r="D90" s="5"/>
      <c r="AC90" s="8"/>
    </row>
    <row r="91" spans="3:29" x14ac:dyDescent="0.35">
      <c r="C91" s="5"/>
      <c r="D91" s="5"/>
      <c r="AC91" s="8"/>
    </row>
    <row r="92" spans="3:29" x14ac:dyDescent="0.35">
      <c r="C92" s="5"/>
      <c r="D92" s="5"/>
      <c r="AC92" s="8"/>
    </row>
    <row r="93" spans="3:29" x14ac:dyDescent="0.35">
      <c r="C93" s="5"/>
      <c r="D93" s="5"/>
      <c r="AC93" s="8"/>
    </row>
    <row r="94" spans="3:29" x14ac:dyDescent="0.35">
      <c r="C94" s="5"/>
      <c r="D94" s="5"/>
      <c r="AC94" s="8"/>
    </row>
    <row r="95" spans="3:29" x14ac:dyDescent="0.35">
      <c r="C95" s="5"/>
      <c r="D95" s="5"/>
      <c r="AC95" s="8"/>
    </row>
    <row r="96" spans="3:29" x14ac:dyDescent="0.35">
      <c r="C96" s="5"/>
      <c r="D96" s="5"/>
      <c r="AC96" s="8"/>
    </row>
    <row r="97" spans="3:29" x14ac:dyDescent="0.35">
      <c r="C97" s="5"/>
      <c r="D97" s="5"/>
      <c r="AC97" s="8"/>
    </row>
    <row r="98" spans="3:29" x14ac:dyDescent="0.35">
      <c r="C98" s="5"/>
      <c r="D98" s="5"/>
      <c r="AC98" s="8"/>
    </row>
    <row r="99" spans="3:29" x14ac:dyDescent="0.35">
      <c r="C99" s="5"/>
      <c r="D99" s="5"/>
      <c r="AC99" s="8"/>
    </row>
    <row r="100" spans="3:29" x14ac:dyDescent="0.35">
      <c r="C100" s="5"/>
      <c r="D100" s="5"/>
      <c r="AC100" s="8"/>
    </row>
    <row r="101" spans="3:29" x14ac:dyDescent="0.35">
      <c r="C101" s="5"/>
      <c r="D101" s="5"/>
      <c r="AC101" s="8"/>
    </row>
    <row r="102" spans="3:29" x14ac:dyDescent="0.35">
      <c r="C102" s="5"/>
      <c r="D102" s="5"/>
      <c r="AC102" s="8"/>
    </row>
    <row r="103" spans="3:29" x14ac:dyDescent="0.35">
      <c r="C103" s="5"/>
      <c r="D103" s="5"/>
      <c r="AC103" s="8"/>
    </row>
    <row r="104" spans="3:29" x14ac:dyDescent="0.35">
      <c r="C104" s="5"/>
      <c r="D104" s="5"/>
      <c r="AC104" s="8"/>
    </row>
    <row r="105" spans="3:29" x14ac:dyDescent="0.35">
      <c r="C105" s="5"/>
      <c r="D105" s="5"/>
      <c r="AC105" s="8"/>
    </row>
    <row r="106" spans="3:29" x14ac:dyDescent="0.35">
      <c r="C106" s="5"/>
      <c r="D106" s="5"/>
      <c r="AC106" s="8"/>
    </row>
    <row r="107" spans="3:29" x14ac:dyDescent="0.35">
      <c r="C107" s="5"/>
      <c r="D107" s="5"/>
      <c r="AC107" s="8"/>
    </row>
    <row r="108" spans="3:29" x14ac:dyDescent="0.35">
      <c r="C108" s="5"/>
      <c r="D108" s="5"/>
      <c r="AC108" s="8"/>
    </row>
    <row r="109" spans="3:29" x14ac:dyDescent="0.35">
      <c r="C109" s="5"/>
      <c r="D109" s="5"/>
      <c r="AC109" s="8"/>
    </row>
    <row r="110" spans="3:29" x14ac:dyDescent="0.35">
      <c r="C110" s="5"/>
      <c r="D110" s="5"/>
      <c r="AC110" s="8"/>
    </row>
    <row r="111" spans="3:29" x14ac:dyDescent="0.35">
      <c r="C111" s="5"/>
      <c r="D111" s="5"/>
      <c r="AC111" s="8"/>
    </row>
    <row r="112" spans="3:29" x14ac:dyDescent="0.35">
      <c r="C112" s="5"/>
      <c r="D112" s="5"/>
      <c r="AC112" s="8"/>
    </row>
    <row r="113" spans="3:29" x14ac:dyDescent="0.35">
      <c r="C113" s="5"/>
      <c r="D113" s="5"/>
      <c r="AC113" s="8"/>
    </row>
    <row r="114" spans="3:29" x14ac:dyDescent="0.35">
      <c r="C114" s="5"/>
      <c r="D114" s="5"/>
      <c r="AC114" s="8"/>
    </row>
    <row r="115" spans="3:29" x14ac:dyDescent="0.35">
      <c r="C115" s="5"/>
      <c r="D115" s="5"/>
      <c r="AC115" s="8"/>
    </row>
    <row r="116" spans="3:29" x14ac:dyDescent="0.35">
      <c r="C116" s="5"/>
      <c r="D116" s="5"/>
      <c r="AC116" s="8"/>
    </row>
    <row r="117" spans="3:29" x14ac:dyDescent="0.35">
      <c r="C117" s="5"/>
      <c r="D117" s="5"/>
      <c r="AC117" s="8"/>
    </row>
    <row r="118" spans="3:29" x14ac:dyDescent="0.35">
      <c r="C118" s="5"/>
      <c r="D118" s="5"/>
      <c r="AC118" s="8"/>
    </row>
    <row r="119" spans="3:29" x14ac:dyDescent="0.35">
      <c r="C119" s="5"/>
      <c r="D119" s="5"/>
      <c r="AC119" s="8"/>
    </row>
    <row r="120" spans="3:29" x14ac:dyDescent="0.35">
      <c r="C120" s="5"/>
      <c r="D120" s="5"/>
      <c r="AC120" s="8"/>
    </row>
    <row r="121" spans="3:29" x14ac:dyDescent="0.35">
      <c r="C121" s="5"/>
      <c r="D121" s="5"/>
      <c r="AC121" s="8"/>
    </row>
    <row r="122" spans="3:29" x14ac:dyDescent="0.35">
      <c r="C122" s="5"/>
      <c r="D122" s="5"/>
      <c r="AC122" s="8"/>
    </row>
    <row r="123" spans="3:29" x14ac:dyDescent="0.35">
      <c r="C123" s="5"/>
      <c r="D123" s="5"/>
      <c r="AC123" s="8"/>
    </row>
    <row r="124" spans="3:29" x14ac:dyDescent="0.35">
      <c r="C124" s="5"/>
      <c r="D124" s="5"/>
      <c r="AC124" s="8"/>
    </row>
    <row r="125" spans="3:29" x14ac:dyDescent="0.35">
      <c r="C125" s="5"/>
      <c r="D125" s="5"/>
      <c r="AC125" s="8"/>
    </row>
    <row r="126" spans="3:29" x14ac:dyDescent="0.35">
      <c r="C126" s="5"/>
      <c r="D126" s="5"/>
      <c r="AC126" s="8"/>
    </row>
    <row r="127" spans="3:29" x14ac:dyDescent="0.35">
      <c r="C127" s="5"/>
      <c r="D127" s="5"/>
      <c r="AC127" s="8"/>
    </row>
    <row r="128" spans="3:29" x14ac:dyDescent="0.35">
      <c r="C128" s="5"/>
      <c r="D128" s="5"/>
      <c r="AC128" s="8"/>
    </row>
    <row r="129" spans="3:29" x14ac:dyDescent="0.35">
      <c r="C129" s="5"/>
      <c r="D129" s="5"/>
      <c r="AC129" s="8"/>
    </row>
    <row r="130" spans="3:29" x14ac:dyDescent="0.35">
      <c r="C130" s="5"/>
      <c r="D130" s="5"/>
      <c r="AC130" s="8"/>
    </row>
    <row r="131" spans="3:29" x14ac:dyDescent="0.35">
      <c r="C131" s="5"/>
      <c r="D131" s="5"/>
      <c r="AC131" s="8"/>
    </row>
    <row r="132" spans="3:29" x14ac:dyDescent="0.35">
      <c r="C132" s="5"/>
      <c r="D132" s="5"/>
      <c r="AC132" s="8"/>
    </row>
    <row r="133" spans="3:29" x14ac:dyDescent="0.35">
      <c r="C133" s="5"/>
      <c r="D133" s="5"/>
      <c r="AC133" s="8"/>
    </row>
    <row r="134" spans="3:29" x14ac:dyDescent="0.35">
      <c r="C134" s="5"/>
      <c r="D134" s="5"/>
      <c r="AC134" s="8"/>
    </row>
    <row r="135" spans="3:29" x14ac:dyDescent="0.35">
      <c r="C135" s="5"/>
      <c r="D135" s="5"/>
      <c r="AC135" s="8"/>
    </row>
    <row r="136" spans="3:29" x14ac:dyDescent="0.35"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11"/>
    </row>
  </sheetData>
  <sheetProtection algorithmName="SHA-512" hashValue="PJVgTnAp7v0EkGejGvZvkWP21Jsx61jrPt73yF6uNjQk31Ivl1vgENOEwy9toLr1iIHswl6c7dlgaBXwsWEhpQ==" saltValue="KB4QILLC8q3lLPLJlYraEA==" spinCount="100000" sheet="1" objects="1" scenarios="1" selectLockedCells="1" selectUnlockedCells="1"/>
  <mergeCells count="1">
    <mergeCell ref="A2:C2"/>
  </mergeCells>
  <phoneticPr fontId="4" type="noConversion"/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3EB4B607C9824E82320D8BCD40CAAE" ma:contentTypeVersion="18" ma:contentTypeDescription="Create a new document." ma:contentTypeScope="" ma:versionID="2769bdfea546f6b83c3a8c4542c69a27">
  <xsd:schema xmlns:xsd="http://www.w3.org/2001/XMLSchema" xmlns:xs="http://www.w3.org/2001/XMLSchema" xmlns:p="http://schemas.microsoft.com/office/2006/metadata/properties" xmlns:ns2="0225443d-76f0-4d33-b010-b7398fa8165d" xmlns:ns3="6b3de2de-4ca2-4ad1-8c6e-008e70a43a87" targetNamespace="http://schemas.microsoft.com/office/2006/metadata/properties" ma:root="true" ma:fieldsID="e6e7a565027dd4e3662471f936244fe5" ns2:_="" ns3:_="">
    <xsd:import namespace="0225443d-76f0-4d33-b010-b7398fa8165d"/>
    <xsd:import namespace="6b3de2de-4ca2-4ad1-8c6e-008e70a43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5443d-76f0-4d33-b010-b7398fa81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6a15b7-5206-4000-972f-8382a0867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de2de-4ca2-4ad1-8c6e-008e70a43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cf52e35-a597-44e4-9350-432286d65e17}" ma:internalName="TaxCatchAll" ma:showField="CatchAllData" ma:web="6b3de2de-4ca2-4ad1-8c6e-008e70a43a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25443d-76f0-4d33-b010-b7398fa8165d">
      <Terms xmlns="http://schemas.microsoft.com/office/infopath/2007/PartnerControls"/>
    </lcf76f155ced4ddcb4097134ff3c332f>
    <TaxCatchAll xmlns="6b3de2de-4ca2-4ad1-8c6e-008e70a43a87" xsi:nil="true"/>
  </documentManagement>
</p:properties>
</file>

<file path=customXml/item5.xml>�� 
</file>

<file path=customXml/item6.xml>�� 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�� 
</file>

<file path=customXml/itemProps1.xml><?xml version="1.0" encoding="utf-8"?>
<ds:datastoreItem xmlns:ds="http://schemas.openxmlformats.org/officeDocument/2006/customXml" ds:itemID="{671A613E-AFFE-4A91-B196-604D1944FE06}">
  <ds:schemaRefs>
    <ds:schemaRef ds:uri="http://gemini/pivotcustomization/TableXML_Table6"/>
  </ds:schemaRefs>
</ds:datastoreItem>
</file>

<file path=customXml/itemProps2.xml><?xml version="1.0" encoding="utf-8"?>
<ds:datastoreItem xmlns:ds="http://schemas.openxmlformats.org/officeDocument/2006/customXml" ds:itemID="{C826CD2E-E3B5-496D-A156-DED718A13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5443d-76f0-4d33-b010-b7398fa8165d"/>
    <ds:schemaRef ds:uri="6b3de2de-4ca2-4ad1-8c6e-008e70a43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970A06-3874-4932-99DA-1CF05C6ACE3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73074FA-4964-4FAB-9C39-DB9250B70E3C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4ccce07-d9df-40be-ba22-67d5c80ef237"/>
    <ds:schemaRef ds:uri="3e8c1917-30ce-4059-b20f-d25788032734"/>
    <ds:schemaRef ds:uri="http://schemas.microsoft.com/office/2006/metadata/properties"/>
    <ds:schemaRef ds:uri="http://purl.org/dc/dcmitype/"/>
    <ds:schemaRef ds:uri="0225443d-76f0-4d33-b010-b7398fa8165d"/>
    <ds:schemaRef ds:uri="6b3de2de-4ca2-4ad1-8c6e-008e70a43a87"/>
  </ds:schemaRefs>
</ds:datastoreItem>
</file>

<file path=customXml/itemProps5.xml><?xml version="1.0" encoding="utf-8"?>
<ds:datastoreItem xmlns:ds="http://schemas.openxmlformats.org/officeDocument/2006/customXml" ds:itemID="{700E1F33-9775-4FBC-A8B8-27C23D4CD193}">
  <ds:schemaRefs>
    <ds:schemaRef ds:uri="http://gemini/pivotcustomization/FormulaBarState"/>
  </ds:schemaRefs>
</ds:datastoreItem>
</file>

<file path=customXml/itemProps6.xml><?xml version="1.0" encoding="utf-8"?>
<ds:datastoreItem xmlns:ds="http://schemas.openxmlformats.org/officeDocument/2006/customXml" ds:itemID="{9111E476-233C-4C65-87E3-15334F1D2C68}">
  <ds:schemaRefs>
    <ds:schemaRef ds:uri="http://gemini/pivotcustomization/TableWidget"/>
  </ds:schemaRefs>
</ds:datastoreItem>
</file>

<file path=customXml/itemProps7.xml><?xml version="1.0" encoding="utf-8"?>
<ds:datastoreItem xmlns:ds="http://schemas.openxmlformats.org/officeDocument/2006/customXml" ds:itemID="{45B3C29A-1390-42E6-A6A0-7E82E1DC8E50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277E42F3-3C74-4535-8203-47A3AFEACFB1}">
  <ds:schemaRefs>
    <ds:schemaRef ds:uri="http://gemini/pivotcustomization/TableXML_working_tabl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22</vt:i4>
      </vt:variant>
    </vt:vector>
  </HeadingPairs>
  <TitlesOfParts>
    <vt:vector size="30" baseType="lpstr">
      <vt:lpstr>Information</vt:lpstr>
      <vt:lpstr>─&gt; Data input table</vt:lpstr>
      <vt:lpstr>─&gt; Factor selection</vt:lpstr>
      <vt:lpstr>R.1| Vulnera. index calculation</vt:lpstr>
      <vt:lpstr>R.2| Vulnera. index summary</vt:lpstr>
      <vt:lpstr>R.3| Missing data overview</vt:lpstr>
      <vt:lpstr>R.4| Table PAMIs export </vt:lpstr>
      <vt:lpstr>Names - Do not touch</vt:lpstr>
      <vt:lpstr>_0_uniq_id</vt:lpstr>
      <vt:lpstr>_1_adi_1</vt:lpstr>
      <vt:lpstr>_2_adi_2</vt:lpstr>
      <vt:lpstr>_3_pop</vt:lpstr>
      <vt:lpstr>_q01</vt:lpstr>
      <vt:lpstr>_q02</vt:lpstr>
      <vt:lpstr>_q03</vt:lpstr>
      <vt:lpstr>_q04</vt:lpstr>
      <vt:lpstr>_q05</vt:lpstr>
      <vt:lpstr>_q06</vt:lpstr>
      <vt:lpstr>_q07</vt:lpstr>
      <vt:lpstr>_q08</vt:lpstr>
      <vt:lpstr>_q09</vt:lpstr>
      <vt:lpstr>_q10</vt:lpstr>
      <vt:lpstr>_q11</vt:lpstr>
      <vt:lpstr>_q12</vt:lpstr>
      <vt:lpstr>_q13</vt:lpstr>
      <vt:lpstr>_q14</vt:lpstr>
      <vt:lpstr>_q15</vt:lpstr>
      <vt:lpstr>_q16</vt:lpstr>
      <vt:lpstr>_q17</vt:lpstr>
      <vt:lpstr>_q18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besu</dc:creator>
  <cp:keywords/>
  <dc:description/>
  <cp:lastModifiedBy>DOMINGUEZ, Morgane</cp:lastModifiedBy>
  <cp:revision/>
  <dcterms:created xsi:type="dcterms:W3CDTF">2022-07-29T19:50:00Z</dcterms:created>
  <dcterms:modified xsi:type="dcterms:W3CDTF">2024-11-11T12:23:22Z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0x01010095B9CFA3E61CBB43BF684C8389ECF8B5</vt:lpwstr>
  </property>
  <property fmtid="{D5CDD505-2E9C-101B-9397-08002B2CF9AE}" pid="3" name="MediaServiceImageTags">
    <vt:lpwstr/>
  </property>
</Properties>
</file>