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66925"/>
  <mc:AlternateContent xmlns:mc="http://schemas.openxmlformats.org/markup-compatibility/2006">
    <mc:Choice Requires="x15">
      <x15ac:absPath xmlns:x15ac="http://schemas.microsoft.com/office/spreadsheetml/2010/11/ac" url="https://fondationmerieux.sharepoint.com/sites/COMMUNICATION-1_ServiceComm2/Documents partages/1_Service Comm/1-DATA WEB/GTFCC Prod/assets/To be uploaded/"/>
    </mc:Choice>
  </mc:AlternateContent>
  <xr:revisionPtr revIDLastSave="0" documentId="8_{EB88A4D2-1461-43A8-8F3B-0D073C89D131}" xr6:coauthVersionLast="47" xr6:coauthVersionMax="47" xr10:uidLastSave="{00000000-0000-0000-0000-000000000000}"/>
  <bookViews>
    <workbookView xWindow="-120" yWindow="-120" windowWidth="29040" windowHeight="15720" tabRatio="1000" firstSheet="2" activeTab="6" xr2:uid="{CF61CB3A-3BFF-4EEB-8537-E7C073D0A425}"/>
  </bookViews>
  <sheets>
    <sheet name="Information" sheetId="27" r:id="rId1"/>
    <sheet name="─&gt; Tableau de données" sheetId="1" r:id="rId2"/>
    <sheet name="─&gt; Selection vulner. facteurs" sheetId="31" r:id="rId3"/>
    <sheet name="R.1| Calcul index vulner." sheetId="3" r:id="rId4"/>
    <sheet name="R.2| Tableaux récapitulatifs" sheetId="5" r:id="rId5"/>
    <sheet name="R.3| Aperçu données manquantes" sheetId="40" r:id="rId6"/>
    <sheet name="R.4|  Export tableau PAMI" sheetId="42" r:id="rId7"/>
    <sheet name="Names - Do not touch" sheetId="2" state="hidden" r:id="rId8"/>
  </sheets>
  <definedNames>
    <definedName name="_0_uniq_id">'Names - Do not touch'!$C$5</definedName>
    <definedName name="_1_adi_1">'Names - Do not touch'!$C$6</definedName>
    <definedName name="_2_adi_2">'Names - Do not touch'!$C$7</definedName>
    <definedName name="_3_pop">'Names - Do not touch'!$C$8</definedName>
    <definedName name="_xlnm._FilterDatabase" localSheetId="3" hidden="1">'R.1| Calcul index vulner.'!$A$1:$L$2</definedName>
    <definedName name="_q01">'Names - Do not touch'!$C$9</definedName>
    <definedName name="_q02">'Names - Do not touch'!$C$10</definedName>
    <definedName name="_q03">'Names - Do not touch'!$C$11</definedName>
    <definedName name="_q04">'Names - Do not touch'!$C$12</definedName>
    <definedName name="_q05">'Names - Do not touch'!$C$13</definedName>
    <definedName name="_q06">'Names - Do not touch'!$C$14</definedName>
    <definedName name="_q07">'Names - Do not touch'!$C$15</definedName>
    <definedName name="_q08">'Names - Do not touch'!$C$16</definedName>
    <definedName name="_q09">'Names - Do not touch'!$C$17</definedName>
    <definedName name="_q10">'Names - Do not touch'!$C$18</definedName>
    <definedName name="_q11">'Names - Do not touch'!$C$19</definedName>
    <definedName name="_q12">'Names - Do not touch'!$C$20</definedName>
    <definedName name="_q13">'Names - Do not touch'!$C$21</definedName>
    <definedName name="_q14">'Names - Do not touch'!$C$22</definedName>
    <definedName name="_q15">'Names - Do not touch'!$C$23</definedName>
    <definedName name="_q16">'Names - Do not touch'!$C$24</definedName>
    <definedName name="_q17">'Names - Do not touch'!$C$25</definedName>
    <definedName name="_q18">'Names - Do not touch'!$C$26</definedName>
    <definedName name="DonnéesExternes_1" localSheetId="6" hidden="1">'R.4|  Export tableau PAMI'!$A$1:$X$2</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0" l="1"/>
  <c r="B6" i="40"/>
  <c r="B7" i="40"/>
  <c r="B8" i="40"/>
  <c r="B9" i="40"/>
  <c r="B10" i="40"/>
  <c r="B11" i="40"/>
  <c r="B12" i="40"/>
  <c r="B13" i="40"/>
  <c r="B14" i="40"/>
  <c r="B15" i="40"/>
  <c r="B16" i="40"/>
  <c r="B17" i="40"/>
  <c r="B18" i="40"/>
  <c r="B21" i="40"/>
  <c r="B22" i="40"/>
  <c r="B19" i="40"/>
  <c r="B20" i="40"/>
  <c r="F2" i="3" a="1"/>
  <c r="G2" i="3" a="1"/>
  <c r="O2" i="3" a="1"/>
  <c r="E2" i="3" a="1"/>
  <c r="N2" i="3" a="1"/>
  <c r="L2" i="3" a="1"/>
  <c r="C2" i="3" a="1"/>
  <c r="S2" i="3" a="1"/>
  <c r="D2" i="3" a="1"/>
  <c r="H2" i="3" a="1"/>
  <c r="U2" i="3" a="1"/>
  <c r="I2" i="3" a="1"/>
  <c r="R2" i="3" a="1"/>
  <c r="M2" i="3" a="1"/>
  <c r="V2" i="3" a="1"/>
  <c r="K2" i="3" a="1"/>
  <c r="T2" i="3" a="1"/>
  <c r="J2" i="3" a="1"/>
  <c r="B2" i="3" a="1"/>
  <c r="Q2" i="3" a="1"/>
  <c r="P2" i="3" a="1"/>
  <c r="A2" i="3" a="1"/>
  <c r="K2" i="3" l="1"/>
  <c r="I2" i="3"/>
  <c r="G2" i="3"/>
  <c r="Q2" i="3"/>
  <c r="V2" i="3"/>
  <c r="P2" i="3"/>
  <c r="O2" i="3"/>
  <c r="B2" i="3"/>
  <c r="H2" i="3"/>
  <c r="S2" i="3"/>
  <c r="T2" i="3"/>
  <c r="R2" i="3"/>
  <c r="U2" i="3"/>
  <c r="A2" i="3"/>
  <c r="C2" i="3"/>
  <c r="L2" i="3"/>
  <c r="E2" i="3"/>
  <c r="F2" i="3"/>
  <c r="J2" i="3"/>
  <c r="D2" i="3"/>
  <c r="M2" i="3"/>
  <c r="N2" i="3"/>
  <c r="G20" i="40" l="1"/>
  <c r="E20" i="40"/>
  <c r="F20" i="40"/>
  <c r="G9" i="40"/>
  <c r="E9" i="40"/>
  <c r="F9" i="40"/>
  <c r="G6" i="40"/>
  <c r="E6" i="40"/>
  <c r="F6" i="40"/>
  <c r="E12" i="40"/>
  <c r="G12" i="40"/>
  <c r="F12" i="40"/>
  <c r="E7" i="40"/>
  <c r="F7" i="40"/>
  <c r="G7" i="40"/>
  <c r="G21" i="40"/>
  <c r="E21" i="40"/>
  <c r="F21" i="40"/>
  <c r="G10" i="40"/>
  <c r="E10" i="40"/>
  <c r="F10" i="40"/>
  <c r="G14" i="40"/>
  <c r="E14" i="40"/>
  <c r="F14" i="40"/>
  <c r="G16" i="40"/>
  <c r="F16" i="40"/>
  <c r="E16" i="40"/>
  <c r="E15" i="40"/>
  <c r="F15" i="40"/>
  <c r="G15" i="40"/>
  <c r="F5" i="40"/>
  <c r="E5" i="40"/>
  <c r="X2" i="3"/>
  <c r="G5" i="40"/>
  <c r="W2" i="3"/>
  <c r="E18" i="40"/>
  <c r="F18" i="40"/>
  <c r="G18" i="40"/>
  <c r="G11" i="40"/>
  <c r="E11" i="40"/>
  <c r="F11" i="40"/>
  <c r="E8" i="40"/>
  <c r="F8" i="40"/>
  <c r="G8" i="40"/>
  <c r="G22" i="40"/>
  <c r="E22" i="40"/>
  <c r="F22" i="40"/>
  <c r="G13" i="40"/>
  <c r="F13" i="40"/>
  <c r="E13" i="40"/>
  <c r="G19" i="40"/>
  <c r="E19" i="40"/>
  <c r="F19" i="40"/>
  <c r="G17" i="40"/>
  <c r="E17" i="40"/>
  <c r="F17" i="40"/>
  <c r="H7" i="40" l="1"/>
  <c r="K7" i="40" s="1"/>
  <c r="H10" i="40"/>
  <c r="M10" i="40" s="1"/>
  <c r="H11" i="40"/>
  <c r="J11" i="40" s="1"/>
  <c r="H17" i="40"/>
  <c r="L17" i="40" s="1"/>
  <c r="H15" i="40"/>
  <c r="L15" i="40" s="1"/>
  <c r="H5" i="40"/>
  <c r="M5" i="40" s="1"/>
  <c r="H19" i="40"/>
  <c r="M19" i="40" s="1"/>
  <c r="H16" i="40"/>
  <c r="L16" i="40" s="1"/>
  <c r="H8" i="40"/>
  <c r="K8" i="40" s="1"/>
  <c r="H18" i="40"/>
  <c r="J18" i="40" s="1"/>
  <c r="H22" i="40"/>
  <c r="H9" i="40"/>
  <c r="H21" i="40"/>
  <c r="H13" i="40"/>
  <c r="H12" i="40"/>
  <c r="H14" i="40"/>
  <c r="H6" i="40"/>
  <c r="H20" i="40"/>
  <c r="M7" i="40" l="1"/>
  <c r="L7" i="40"/>
  <c r="J7" i="40"/>
  <c r="J19" i="40"/>
  <c r="J16" i="40"/>
  <c r="L19" i="40"/>
  <c r="K19" i="40"/>
  <c r="J15" i="40"/>
  <c r="M15" i="40"/>
  <c r="K5" i="40"/>
  <c r="L5" i="40"/>
  <c r="K15" i="40"/>
  <c r="J5" i="40"/>
  <c r="J8" i="40"/>
  <c r="M16" i="40"/>
  <c r="M18" i="40"/>
  <c r="L18" i="40"/>
  <c r="L8" i="40"/>
  <c r="M8" i="40"/>
  <c r="J10" i="40"/>
  <c r="M11" i="40"/>
  <c r="L11" i="40"/>
  <c r="K11" i="40"/>
  <c r="L10" i="40"/>
  <c r="K10" i="40"/>
  <c r="J17" i="40"/>
  <c r="K17" i="40"/>
  <c r="M17" i="40"/>
  <c r="K16" i="40"/>
  <c r="K18" i="40"/>
  <c r="L9" i="40"/>
  <c r="M9" i="40"/>
  <c r="J9" i="40"/>
  <c r="K9" i="40"/>
  <c r="K13" i="40"/>
  <c r="M13" i="40"/>
  <c r="J13" i="40"/>
  <c r="L13" i="40"/>
  <c r="J22" i="40"/>
  <c r="M22" i="40"/>
  <c r="L22" i="40"/>
  <c r="K22" i="40"/>
  <c r="K20" i="40"/>
  <c r="L20" i="40"/>
  <c r="J20" i="40"/>
  <c r="M20" i="40"/>
  <c r="M14" i="40"/>
  <c r="L14" i="40"/>
  <c r="J14" i="40"/>
  <c r="K14" i="40"/>
  <c r="J12" i="40"/>
  <c r="K12" i="40"/>
  <c r="M12" i="40"/>
  <c r="L12" i="40"/>
  <c r="L6" i="40"/>
  <c r="K6" i="40"/>
  <c r="J6" i="40"/>
  <c r="M6" i="40"/>
  <c r="K21" i="40"/>
  <c r="J21" i="40"/>
  <c r="L21" i="40"/>
  <c r="M21" i="4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6AB126-7133-41EA-AFC3-320CFABE89C3}" keepAlive="1" name="Query - working_table" description="Connection to the 'working_table' query in the workbook." type="5" refreshedVersion="8" background="1" saveData="1">
    <dbPr connection="Provider=Microsoft.Mashup.OleDb.1;Data Source=$Workbook$;Location=working_table;Extended Properties=&quot;&quot;" command="SELECT * FROM [working_table]"/>
  </connection>
  <connection id="2" xr16:uid="{8763A519-72C5-4A68-AD88-A7BC8CC85883}" keepAlive="1" name="Requête - working_table (2)" description="Connexion à la requête « working_table (2) » dans le classeur." type="5" refreshedVersion="8" background="1" saveData="1">
    <dbPr connection="Provider=Microsoft.Mashup.OleDb.1;Data Source=$Workbook$;Location=&quot;working_table (2)&quot;;Extended Properties=&quot;&quot;" command="SELECT * FROM [working_table (2)]"/>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<sst xmlns="http://schemas.openxmlformats.org/spreadsheetml/2006/main" count="282" uniqueCount="184">
  <si>
    <t>Outil Excel du GTFCC pour l’identification des zones d’interventions 
multisectorielles prioritaires (PAMI) pour l'élimination du choléra</t>
  </si>
  <si>
    <t>Hyperliens</t>
  </si>
  <si>
    <r>
      <t xml:space="preserve">L’outil Excel du GTFCC a pour objectif d’automatiser le calcul de l’indice de vulnerabilité pour permettre </t>
    </r>
    <r>
      <rPr>
        <b/>
        <sz val="14"/>
        <color theme="1"/>
        <rFont val="Calibri"/>
        <family val="2"/>
        <scheme val="minor"/>
      </rPr>
      <t>l’identification des zones d’interventions multisectorielles prioritaires (PAMI)</t>
    </r>
    <r>
      <rPr>
        <sz val="14"/>
        <color theme="1"/>
        <rFont val="Calibri"/>
        <family val="2"/>
        <scheme val="minor"/>
      </rPr>
      <t xml:space="preserve"> dans le cadre de la lutte contre le choléra, conformément à la description figurant dans les Lignes directrices disponible à l’adresse suivante:</t>
    </r>
  </si>
  <si>
    <t>Identification des zones d’interventions multisectorielles prioritaires (PAMI) pour le contrôle du choléra - Lignes directrices (2023)</t>
  </si>
  <si>
    <r>
      <t xml:space="preserve">Il convient d’utiliser conjointement cet outil avec le </t>
    </r>
    <r>
      <rPr>
        <b/>
        <sz val="14"/>
        <color theme="1"/>
        <rFont val="Calibri"/>
        <family val="2"/>
        <scheme val="minor"/>
      </rPr>
      <t>Guide de l’utilisateur pour l’outil Excel</t>
    </r>
    <r>
      <rPr>
        <sz val="14"/>
        <color theme="1"/>
        <rFont val="Calibri"/>
        <family val="2"/>
        <scheme val="minor"/>
      </rPr>
      <t xml:space="preserve"> : </t>
    </r>
  </si>
  <si>
    <t>Identification des zones d’interventions multisectorielles prioritaires (PAMI) pour l'élimination du choléra - Guide de l’utilisateur pour l’outil Excel (2023)</t>
  </si>
  <si>
    <r>
      <t xml:space="preserve">Ce Guide de l’utilisateur est accompagné d’un </t>
    </r>
    <r>
      <rPr>
        <b/>
        <sz val="14"/>
        <color theme="1"/>
        <rFont val="Calibri"/>
        <family val="2"/>
        <scheme val="minor"/>
      </rPr>
      <t>modèle pour la saisie des données</t>
    </r>
    <r>
      <rPr>
        <sz val="14"/>
        <color theme="1"/>
        <rFont val="Calibri"/>
        <family val="2"/>
        <scheme val="minor"/>
      </rPr>
      <t>, qui montre comment structurer les données avant de les importer dans l’outil Excel du GTFCC :</t>
    </r>
  </si>
  <si>
    <t>Modèle de saisie des données</t>
  </si>
  <si>
    <r>
      <t xml:space="preserve">Un </t>
    </r>
    <r>
      <rPr>
        <b/>
        <sz val="14"/>
        <color theme="1"/>
        <rFont val="Calibri"/>
        <family val="2"/>
        <scheme val="minor"/>
      </rPr>
      <t>jeu de données de formation</t>
    </r>
    <r>
      <rPr>
        <sz val="14"/>
        <color theme="1"/>
        <rFont val="Calibri"/>
        <family val="2"/>
        <scheme val="minor"/>
      </rPr>
      <t xml:space="preserve"> est disponible pour aider les utilisateurs à se familiariser avec la manipulation de l'outil GTFCC basé sur Excel :</t>
    </r>
  </si>
  <si>
    <t>Jeu données de formation</t>
  </si>
  <si>
    <t>Contact :</t>
  </si>
  <si>
    <t>gtfccsecretariat@who.int</t>
  </si>
  <si>
    <t>Aperçu</t>
  </si>
  <si>
    <r>
      <t xml:space="preserve">Cet outil comporte </t>
    </r>
    <r>
      <rPr>
        <b/>
        <sz val="14"/>
        <color theme="1"/>
        <rFont val="Calibri"/>
        <family val="2"/>
        <scheme val="minor"/>
      </rPr>
      <t>sept onglets</t>
    </r>
    <r>
      <rPr>
        <sz val="14"/>
        <color theme="1"/>
        <rFont val="Calibri"/>
        <family val="2"/>
        <scheme val="minor"/>
      </rPr>
      <t>, plus précisément de gauche à droite :</t>
    </r>
  </si>
  <si>
    <r>
      <t xml:space="preserve">L’onglet </t>
    </r>
    <r>
      <rPr>
        <b/>
        <sz val="14"/>
        <rFont val="Calibri"/>
        <family val="2"/>
        <scheme val="minor"/>
      </rPr>
      <t xml:space="preserve">Information </t>
    </r>
    <r>
      <rPr>
        <sz val="14"/>
        <rFont val="Calibri"/>
        <family val="2"/>
        <scheme val="minor"/>
      </rPr>
      <t>présente l'outil et les ressources pertinentes.</t>
    </r>
  </si>
  <si>
    <r>
      <t xml:space="preserve">L’onglet </t>
    </r>
    <r>
      <rPr>
        <b/>
        <sz val="14"/>
        <rFont val="Calibri"/>
        <family val="2"/>
        <scheme val="minor"/>
      </rPr>
      <t>-&gt; Tableau de données</t>
    </r>
    <r>
      <rPr>
        <sz val="14"/>
        <rFont val="Calibri"/>
        <family val="2"/>
        <scheme val="minor"/>
      </rPr>
      <t xml:space="preserve"> correspond à l’onglet dans lequel  les données sont importées pour l’analyse sur la base du modèle de saisie des données.</t>
    </r>
  </si>
  <si>
    <r>
      <t xml:space="preserve">L’onglet </t>
    </r>
    <r>
      <rPr>
        <b/>
        <sz val="14"/>
        <rFont val="Calibri"/>
        <family val="2"/>
        <scheme val="minor"/>
      </rPr>
      <t xml:space="preserve">R.1| Calcul index vulner. </t>
    </r>
    <r>
      <rPr>
        <sz val="14"/>
        <rFont val="Calibri"/>
        <family val="2"/>
        <scheme val="minor"/>
      </rPr>
      <t>calcule automatiquement le nombre de données manquantes et les valeurs de l'indice de vulnérabilité.</t>
    </r>
  </si>
  <si>
    <r>
      <t xml:space="preserve">L’onglet </t>
    </r>
    <r>
      <rPr>
        <b/>
        <sz val="14"/>
        <rFont val="Calibri"/>
        <family val="2"/>
        <scheme val="minor"/>
      </rPr>
      <t>R.2| Tableaux récapitulatifs</t>
    </r>
    <r>
      <rPr>
        <sz val="14"/>
        <rFont val="Calibri"/>
        <family val="2"/>
        <scheme val="minor"/>
      </rPr>
      <t xml:space="preserve"> présente un tableau croisé dynamique avec les paramètres clés stratifiés par valeurs d'indice de vulnérabilité.</t>
    </r>
  </si>
  <si>
    <r>
      <t xml:space="preserve">L’onglet </t>
    </r>
    <r>
      <rPr>
        <b/>
        <sz val="14"/>
        <rFont val="Calibri"/>
        <family val="2"/>
        <scheme val="minor"/>
      </rPr>
      <t>R.3| Aperçu données manquantes</t>
    </r>
    <r>
      <rPr>
        <sz val="14"/>
        <rFont val="Calibri"/>
        <family val="2"/>
        <scheme val="minor"/>
      </rPr>
      <t xml:space="preserve"> présente la fréquence des valeurs manquantes pour chaque facteurs de vulnérabilité.</t>
    </r>
  </si>
  <si>
    <t>Résumé des instructions</t>
  </si>
  <si>
    <t>Il est recommandé de toujours utiliser un outil GTFCC Excel vide pour chaque nouvelle analyse.</t>
  </si>
  <si>
    <t>Pour calculer l'indice de priorité, les principales étapes sont les suivantes :</t>
  </si>
  <si>
    <r>
      <t xml:space="preserve">Importer le jeu de données d'entrée dans l'onglet </t>
    </r>
    <r>
      <rPr>
        <b/>
        <sz val="14"/>
        <color theme="1"/>
        <rFont val="Calibri"/>
        <family val="2"/>
        <scheme val="minor"/>
      </rPr>
      <t>─&gt; Tableau de données</t>
    </r>
    <r>
      <rPr>
        <sz val="14"/>
        <color theme="1"/>
        <rFont val="Calibri"/>
        <family val="2"/>
        <scheme val="minor"/>
      </rPr>
      <t xml:space="preserve">. Les données doivent être préparées à l'aide du fichier </t>
    </r>
    <r>
      <rPr>
        <b/>
        <sz val="14"/>
        <color theme="1"/>
        <rFont val="Calibri"/>
        <family val="2"/>
        <scheme val="minor"/>
      </rPr>
      <t>2023-gtfcc-pami-cholera-elimination-input-dataset-template-fr.xlsx</t>
    </r>
    <r>
      <rPr>
        <sz val="14"/>
        <color theme="1"/>
        <rFont val="Calibri"/>
        <family val="2"/>
        <scheme val="minor"/>
      </rPr>
      <t>.
La structure de l'ensemble de données et les noms des variables doivent suivre strictement la nomenclature décrite dans le guide de l'utilisateur.</t>
    </r>
  </si>
  <si>
    <r>
      <t xml:space="preserve">Exporter les informations sur le facteur de vulnérabilité et les valeurs de l'indice de vulnérabilité à l'aide du tableau de données disponible dans l'onglet </t>
    </r>
    <r>
      <rPr>
        <b/>
        <sz val="14"/>
        <rFont val="Calibri"/>
        <family val="2"/>
        <scheme val="minor"/>
      </rPr>
      <t>R.4|  Export tableau PAMI</t>
    </r>
    <r>
      <rPr>
        <sz val="14"/>
        <rFont val="Calibri"/>
        <family val="2"/>
        <scheme val="minor"/>
      </rPr>
      <t>.</t>
    </r>
  </si>
  <si>
    <r>
      <rPr>
        <b/>
        <sz val="14"/>
        <color theme="1"/>
        <rFont val="Calibri"/>
        <family val="2"/>
        <scheme val="minor"/>
      </rPr>
      <t xml:space="preserve">Des instructions détaillées sont disponibles dans le Guide de l’utilisateur pour l’outil Excel. 
</t>
    </r>
    <r>
      <rPr>
        <sz val="14"/>
        <color theme="1"/>
        <rFont val="Calibri"/>
        <family val="2"/>
        <scheme val="minor"/>
      </rPr>
      <t>Le Guide de l’utilisateur a pour objectif de fournir une aide, étape par étape,  pour l’identification des PAMI avec  l’outil Excel du GTFCC.
Ce document est destiné aux épidémiologistes et aux analystes de données qui participent à la surveillance du cholera et à l’identification des PAMIs.</t>
    </r>
  </si>
  <si>
    <t>Liste des
facteur(s) de vulnérabilité spécifique(s) au pays</t>
  </si>
  <si>
    <t>Æ</t>
  </si>
  <si>
    <t>Mettre à jour la définition des indicateurs mesurables</t>
  </si>
  <si>
    <t>Choisir le poids relatif de l'indicateur (le cas échéant)</t>
  </si>
  <si>
    <t>Sélectionner les facteurs de vulnérabilité pour le calcul de l'indice de vulnérabilité</t>
  </si>
  <si>
    <t xml:space="preserve"> - Le résultat de chaque indicateur mesurable doit être "Oui"/"Non"</t>
  </si>
  <si>
    <t>- Ne pas modifier les noms des variables</t>
  </si>
  <si>
    <t>- Par défaut, la somme non pondérée correspond  la valeur de poids relatif de 1
 - La valeur peut être modifié par l'utilisateur (par exemple, 0.5, 2, 4 …)</t>
  </si>
  <si>
    <r>
      <t xml:space="preserve"> - Utiliser le menu déroulant pour sélectionner les facteurs de vulnérabilité à inclure dans le calcul de l'indice de vulnérabilité
(sauf pour "</t>
    </r>
    <r>
      <rPr>
        <b/>
        <sz val="14"/>
        <rFont val="Calibri"/>
        <family val="2"/>
        <scheme val="minor"/>
      </rPr>
      <t>Epidemie de choléra signalée</t>
    </r>
    <r>
      <rPr>
        <sz val="14"/>
        <color theme="1"/>
        <rFont val="Calibri"/>
        <family val="2"/>
        <scheme val="minor"/>
      </rPr>
      <t>" déjà sélectionnée par défaut)</t>
    </r>
  </si>
  <si>
    <t>—</t>
  </si>
  <si>
    <t>Facteurs de vulnérabilité</t>
  </si>
  <si>
    <t>Indicateurs mesurables</t>
  </si>
  <si>
    <t>Noms des variables</t>
  </si>
  <si>
    <t>Poids realtif de l'indicateur</t>
  </si>
  <si>
    <t>Sélection des facteurs dans l'indice de vulnérabilité</t>
  </si>
  <si>
    <t>Épidémie(s) de choléra confirmée(s) au cours de la période d’analyse</t>
  </si>
  <si>
    <t>Unité du PNC avec au moins une épidémie de choléra confirmée et signalée au cours des cinq dernières années/période d'analyse</t>
  </si>
  <si>
    <t>FV_01_chol_epid</t>
  </si>
  <si>
    <t xml:space="preserve"> Ne s'applique pas</t>
  </si>
  <si>
    <t>Si « OUI », l'unité est  prioritaire (PAMI)</t>
  </si>
  <si>
    <t>Unité du PNC avec au moins un cas confirmé de choléra importé (d'un autre pays ou d'une autre unité géographique opérationnelle du PNC signalé au cours de la période d'analyse)</t>
  </si>
  <si>
    <t>FV_02_chol_import</t>
  </si>
  <si>
    <t>Inclus dans l'index de vulnérabilité</t>
  </si>
  <si>
    <t>Unité NPC transfrontalière adjacente aux zones transfrontalières fréquemment touchées par des épidémies de choléra ou classées PAMI dans les pays voisins</t>
  </si>
  <si>
    <t>FV_03_prox_zone_cholera</t>
  </si>
  <si>
    <t>FV_04_voies_com_maj</t>
  </si>
  <si>
    <t>Unité du PNC accueillant des rassemblements de population importants</t>
  </si>
  <si>
    <t>FV_05_rassemb_popul</t>
  </si>
  <si>
    <t>Lieux à forte densité de population ou environnements surpeuplés</t>
  </si>
  <si>
    <t>Unité du PNC à forte densité de population ou surpeuplée</t>
  </si>
  <si>
    <t>FV_06_zone_surpeupl</t>
  </si>
  <si>
    <t>Populations à haut risque</t>
  </si>
  <si>
    <t>Unité du PNC avec population à haut risque</t>
  </si>
  <si>
    <t>FV_07_pop_spec_risk</t>
  </si>
  <si>
    <t>Populations difficiles d’accès</t>
  </si>
  <si>
    <t>Unité du PNC avec population difficile d'accès</t>
  </si>
  <si>
    <t>FV_08_pop_access_diff</t>
  </si>
  <si>
    <t>Unité du PNC avec une population vaccinée il y a plus de trois ans (campagne VCO à deux doses avec une couverture pour les deux cycles &gt;70%)</t>
  </si>
  <si>
    <t>FV_09_vacc_sup_3_ans</t>
  </si>
  <si>
    <t>Risque élevé de conditions climatiques et météorologiques extrêmes</t>
  </si>
  <si>
    <t>Unité du PNC exposée à des conditions climatiques et météorologiques extrêmes</t>
  </si>
  <si>
    <t>FV_10_climate_ev</t>
  </si>
  <si>
    <t>Unité du PNC située dans une zone soumise à une urgence humanitaire complexe</t>
  </si>
  <si>
    <t>FV_11_urgence_hum_comp</t>
  </si>
  <si>
    <t>Eau non améliorée</t>
  </si>
  <si>
    <t>Unité du PNC avec plus de 30 % de la population utilisant un type d'installation d'eau non améliorée (calculée comme la somme du % de la population avec un niveau de service non amélioré et du % de la population utilisant les eaux de surface) OU plus de 15 % de la population utilisant les eaux de surface</t>
  </si>
  <si>
    <t>FV_12_EHA_ind_eau</t>
  </si>
  <si>
    <t>Unité du PNC avec plus de 50 % de la population utilisant un type d'installations sanitaires non améliorées (calculé en % de la population disposant d'un niveau de service d'assainissement non amélioré et % de la population pratiquant la défécation à l'air libre) OU plus de 30 % de la population pratiquant la défécation à l'air libre</t>
  </si>
  <si>
    <t>FV_13_EHA_ind_assain</t>
  </si>
  <si>
    <t>Accès limité à l’hygiène</t>
  </si>
  <si>
    <t>Unité du PNC avec plus de 50 % de la population sans installation de lavage des mains sur place</t>
  </si>
  <si>
    <t>FV_14_EHA_ind_hygiene</t>
  </si>
  <si>
    <t>Facteur de vulnérabilité supplémentaire au choléra spécifique au pays (1)</t>
  </si>
  <si>
    <t>A compléter si des facteurs supplémentaires spécifiques au pays du choléra sont sélectionnés : "Unité du PNC avec …"</t>
  </si>
  <si>
    <t>FV_15_facteur_add_1</t>
  </si>
  <si>
    <t>Exclus de l'index de vulnérabilité</t>
  </si>
  <si>
    <t>Facteur de vulnérabilité supplémentaire au choléra spécifique au pays (2)</t>
  </si>
  <si>
    <t>FV_15_facteur_add_2</t>
  </si>
  <si>
    <t>Facteur de vulnérabilité supplémentaire au choléra spécifique au pays (3)</t>
  </si>
  <si>
    <t>FV_15_facteur_add_3</t>
  </si>
  <si>
    <t>Facteur de vulnérabilité supplémentaire au choléra spécifique au pays (4)</t>
  </si>
  <si>
    <t>FV_15_facteur_add_4</t>
  </si>
  <si>
    <t>unique_id</t>
  </si>
  <si>
    <t>admin_1</t>
  </si>
  <si>
    <t>admin_2</t>
  </si>
  <si>
    <t>tot_population</t>
  </si>
  <si>
    <t>FV_16_facteur_add_2</t>
  </si>
  <si>
    <t>FV_17_facteur_add_3</t>
  </si>
  <si>
    <t>FV_18_facteur_add_4</t>
  </si>
  <si>
    <t>Nombre_val_manquante</t>
  </si>
  <si>
    <t>Indice_de_vulnerabilité</t>
  </si>
  <si>
    <t>Pour rafraîchir le tableau, tapez CTRL + ALT + F5 ou ouvrez l'onglet Données, puis sélectionnez le menu déroulant « Actualiser tout » et cliquez sur « Actualiser tout »</t>
  </si>
  <si>
    <t>Valeurs de l'indice de vulnérabilité</t>
  </si>
  <si>
    <t>Nombre d'unités géographiques</t>
  </si>
  <si>
    <t>Nombre cumulatif d'unités géographiques</t>
  </si>
  <si>
    <t>% relatif du num. d'unités géographiques</t>
  </si>
  <si>
    <t>% cumulatif du num. d'unités géographiques</t>
  </si>
  <si>
    <t>Somme de la population</t>
  </si>
  <si>
    <t>% relatif de la population</t>
  </si>
  <si>
    <t>% cumulatif de la population</t>
  </si>
  <si>
    <t>#REF!</t>
  </si>
  <si>
    <t>NA</t>
  </si>
  <si>
    <t>Grand Total</t>
  </si>
  <si>
    <t>Nombre d'observations</t>
  </si>
  <si>
    <t>Pourcentage relatif</t>
  </si>
  <si>
    <t>Valeurs manquantes</t>
  </si>
  <si>
    <t>"Non"</t>
  </si>
  <si>
    <t>"Oui"</t>
  </si>
  <si>
    <t>Total</t>
  </si>
  <si>
    <t>Ne pas modifier - pour plus d'informations, cochez "Name Manager" dans le menu "Formules"</t>
  </si>
  <si>
    <t>Contribution du facteur de vulnérabilité</t>
  </si>
  <si>
    <t>Variables</t>
  </si>
  <si>
    <t>Label_named_var</t>
  </si>
  <si>
    <t>Values_named_var</t>
  </si>
  <si>
    <t xml:space="preserve">Liste de validation dans ─&gt; Selection vulner. facteurs
</t>
  </si>
  <si>
    <t xml:space="preserve">Liste de validation dans ─&gt; Selection vulner. facteurs
 (inclusion du facteur dans l'indice de vulnérabilité)
</t>
  </si>
  <si>
    <t>_0_uniq_id</t>
  </si>
  <si>
    <t>data_inputs[@[unique_id]]</t>
  </si>
  <si>
    <t>X</t>
  </si>
  <si>
    <t>_1_adi_1</t>
  </si>
  <si>
    <t>data_inputs[@[admin_1]]</t>
  </si>
  <si>
    <t>.</t>
  </si>
  <si>
    <t>_2_adi_2</t>
  </si>
  <si>
    <t>data_inputs[@[admin_2]]</t>
  </si>
  <si>
    <t>_3_pop</t>
  </si>
  <si>
    <t>data_inputs[@[tot_population]]</t>
  </si>
  <si>
    <t>_q01</t>
  </si>
  <si>
    <t>data_inputs[@[FV_01_chol_epid]]</t>
  </si>
  <si>
    <t>_q02</t>
  </si>
  <si>
    <t>data_inputs[@[FV_02_chol_import]]</t>
  </si>
  <si>
    <t>_q03</t>
  </si>
  <si>
    <t>data_inputs[@[FV_03_prox_zone_cholera]]</t>
  </si>
  <si>
    <t>_q04</t>
  </si>
  <si>
    <t>data_inputs[@[FV_04_voies_com_maj]]</t>
  </si>
  <si>
    <t>_q05</t>
  </si>
  <si>
    <t>data_inputs[@[FV_05_rassemb_popul]]</t>
  </si>
  <si>
    <t>_q06</t>
  </si>
  <si>
    <t>data_inputs[@[FV_06_zone_surpeupl]]</t>
  </si>
  <si>
    <t>_q07</t>
  </si>
  <si>
    <t>data_inputs[@[FV_07_pop_spec_risk]]</t>
  </si>
  <si>
    <t>_q08</t>
  </si>
  <si>
    <t>data_inputs[@[FV_08_pop_access_diff]]</t>
  </si>
  <si>
    <t>_q09</t>
  </si>
  <si>
    <t>data_inputs[@[FV_09_vacc_sup_3_ans]]</t>
  </si>
  <si>
    <t>_q10</t>
  </si>
  <si>
    <t>data_inputs[@[FV_10_climate_ev]]</t>
  </si>
  <si>
    <t>_q11</t>
  </si>
  <si>
    <t>data_inputs[@[FV_11_urgence_hum_comp]]</t>
  </si>
  <si>
    <t>_q12</t>
  </si>
  <si>
    <t>data_inputs[@[FV_12_EHA_ind_eau]]</t>
  </si>
  <si>
    <t>_q13</t>
  </si>
  <si>
    <t>data_inputs[@[FV_13_EHA_ind_assain]]</t>
  </si>
  <si>
    <t>_q14</t>
  </si>
  <si>
    <t>data_inputs[@[FV_14_EHA_ind_hygiene]]</t>
  </si>
  <si>
    <t>_q15</t>
  </si>
  <si>
    <t>data_inputs[@[FV_15_facteur_add_1]]</t>
  </si>
  <si>
    <t>_q16</t>
  </si>
  <si>
    <t>data_inputs[@[FV_16_facteur_add_2]]</t>
  </si>
  <si>
    <t>_q17</t>
  </si>
  <si>
    <t>data_inputs[@[FV_17_facteur_add_3]]</t>
  </si>
  <si>
    <t>`</t>
  </si>
  <si>
    <t>_q18</t>
  </si>
  <si>
    <t>data_inputs[@[FV_18_facteur_add_4]]</t>
  </si>
  <si>
    <t>Cas importés de choléra confirmés dans l’unité géographique opérationnelle du PNC considérée</t>
  </si>
  <si>
    <t>Zones transfrontalières adjacentes à des zones fréquemment touchées par le choléra ou à des PAMI identifiées dans le ou les pays voisins</t>
  </si>
  <si>
    <t>Lieux de grands rassemblements de population</t>
  </si>
  <si>
    <t>Population ayant reçu le vaccin oral contre le choléra (VOC) il y a plus de trois ans</t>
  </si>
  <si>
    <t xml:space="preserve">Assainissement non amélioré </t>
  </si>
  <si>
    <t>Urgence humanitaire complexe</t>
  </si>
  <si>
    <t>Unité du PNC située sur voies de transport avec des nœuds/carrefours de transport</t>
  </si>
  <si>
    <t>Situation le long des principales voies de communication avec des nœuds/carrefours en matière de transport</t>
  </si>
  <si>
    <r>
      <t xml:space="preserve">L’onglet </t>
    </r>
    <r>
      <rPr>
        <b/>
        <sz val="14"/>
        <rFont val="Calibri"/>
        <family val="2"/>
        <scheme val="minor"/>
      </rPr>
      <t xml:space="preserve"> ─&gt; Selection vulner. facteurs </t>
    </r>
    <r>
      <rPr>
        <sz val="14"/>
        <rFont val="Calibri"/>
        <family val="2"/>
        <scheme val="minor"/>
      </rPr>
      <t>permet à l'utilisateur de sélectionner la contribution et de définir le poids de chaque indicateur pour le calcul de l'indice de vulnérabilité.</t>
    </r>
  </si>
  <si>
    <r>
      <t xml:space="preserve">L’onglet </t>
    </r>
    <r>
      <rPr>
        <b/>
        <sz val="14"/>
        <rFont val="Calibri"/>
        <family val="2"/>
        <scheme val="minor"/>
      </rPr>
      <t>R.4| Export tableau PAMI</t>
    </r>
    <r>
      <rPr>
        <sz val="14"/>
        <rFont val="Calibri"/>
        <family val="2"/>
        <scheme val="minor"/>
      </rPr>
      <t xml:space="preserve"> correspond aux données de l’onglet </t>
    </r>
    <r>
      <rPr>
        <b/>
        <sz val="14"/>
        <rFont val="Calibri"/>
        <family val="2"/>
        <scheme val="minor"/>
      </rPr>
      <t>R.1| Calcul index vulner.</t>
    </r>
    <r>
      <rPr>
        <sz val="14"/>
        <rFont val="Calibri"/>
        <family val="2"/>
        <scheme val="minor"/>
      </rPr>
      <t xml:space="preserve"> disponibles aux fins d’exploration (tri/filtre). Elles peuvent alors être exportées pour être analysées de façon plus approfondie et cartographiées .</t>
    </r>
  </si>
  <si>
    <r>
      <t xml:space="preserve">Mettre à jour la ou les définitions d'indicateurs mesurables pour chaque facteur de vulnérabilité, selon les besoins, dans l'onglet   </t>
    </r>
    <r>
      <rPr>
        <b/>
        <sz val="14"/>
        <rFont val="Calibri"/>
        <family val="2"/>
        <scheme val="minor"/>
      </rPr>
      <t>─&gt; Selection vulner. facteurs</t>
    </r>
    <r>
      <rPr>
        <sz val="14"/>
        <rFont val="Calibri"/>
        <family val="2"/>
        <scheme val="minor"/>
      </rPr>
      <t>.
Sélectionner le poids relatif et la contribution de chaque facteur de vulnérabilité dans le calcul de l'indice de vulnérabilité.</t>
    </r>
  </si>
  <si>
    <r>
      <t xml:space="preserve">Calculer automatiquement l'indice de vulnérabilité pour toutes les unités géographiques opérationnelles en sélectionnant la plage de données saisies dans l'onglet </t>
    </r>
    <r>
      <rPr>
        <b/>
        <sz val="14"/>
        <rFont val="Calibri"/>
        <family val="2"/>
        <scheme val="minor"/>
      </rPr>
      <t xml:space="preserve">R.1| Calcul index vulner. </t>
    </r>
    <r>
      <rPr>
        <sz val="14"/>
        <rFont val="Calibri"/>
        <family val="2"/>
        <scheme val="minor"/>
      </rPr>
      <t>.</t>
    </r>
  </si>
  <si>
    <r>
      <t xml:space="preserve">Consulter les résultats et le tableau récapitulatif en actualisant tout le classeur Excel en appuyant sur </t>
    </r>
    <r>
      <rPr>
        <b/>
        <sz val="14"/>
        <rFont val="Calibri"/>
        <family val="2"/>
        <scheme val="minor"/>
      </rPr>
      <t>Ctrl + Alt + F5</t>
    </r>
    <r>
      <rPr>
        <sz val="14"/>
        <rFont val="Calibri"/>
        <family val="2"/>
        <scheme val="minor"/>
      </rPr>
      <t xml:space="preserve">.
Vérifier les valeurs manquantes dans l'onglet </t>
    </r>
    <r>
      <rPr>
        <b/>
        <sz val="14"/>
        <rFont val="Calibri"/>
        <family val="2"/>
        <scheme val="minor"/>
      </rPr>
      <t>R.3| Aperçu données manquantes</t>
    </r>
    <r>
      <rPr>
        <sz val="14"/>
        <rFont val="Calibri"/>
        <family val="2"/>
        <scheme val="minor"/>
      </rPr>
      <t xml:space="preserve"> et compléter si nécessaire les données importées (voir le document  Identification des zones d’interventions multisectorielles prioritaires (PAMI) pour l'élimination du choléra - Lignes directrices (2023) et le Guide de l’utilisateur pour l’outil Excel  pour les recommandations sur la gestion des informations manquantes).</t>
    </r>
  </si>
  <si>
    <t xml:space="preserve">Coller les données ici (en tant que valeurs uniquement)  </t>
  </si>
  <si>
    <t>,,,</t>
  </si>
  <si>
    <t>Tableau récapitulatif des paramètres clés stratifiés par valeurs d'indice de vulnérabilité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</si>
</sst>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2"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8"/>
      <name val="Calibri"/>
      <family val="2"/>
      <scheme val="minor"/>
    </font>
    <font>
      <sz val="12"/>
      <color theme="1"/>
      <name val="Calibri"/>
      <family val="2"/>
      <scheme val="minor"/>
    </font>
    <font>
      <b/>
      <sz val="11"/>
      <color theme="0"/>
      <name val="Calibri"/>
      <family val="2"/>
      <scheme val="minor"/>
    </font>
    <font>
      <b/>
      <sz val="11"/>
      <color rgb="FFFF0000"/>
      <name val="Calibri"/>
      <family val="2"/>
      <scheme val="minor"/>
    </font>
    <font>
      <b/>
      <sz val="14"/>
      <color theme="0"/>
      <name val="Calibri"/>
      <family val="2"/>
      <scheme val="minor"/>
    </font>
    <font>
      <sz val="10"/>
      <name val="Arial"/>
      <family val="2"/>
    </font>
    <font>
      <b/>
      <sz val="1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2"/>
      <name val="Arial"/>
      <family val="2"/>
    </font>
    <font>
      <u/>
      <sz val="11"/>
      <color theme="10"/>
      <name val="Calibri"/>
      <family val="2"/>
      <scheme val="minor"/>
    </font>
    <font>
      <i/>
      <sz val="11"/>
      <color theme="0" tint="-0.499984740745262"/>
      <name val="Calibri"/>
      <family val="2"/>
      <scheme val="minor"/>
    </font>
    <font>
      <sz val="11"/>
      <color theme="0" tint="-0.499984740745262"/>
      <name val="Calibri"/>
      <family val="2"/>
      <scheme val="minor"/>
    </font>
    <font>
      <b/>
      <sz val="18"/>
      <color rgb="FFFFFFFF"/>
      <name val="Calibri"/>
      <family val="2"/>
    </font>
    <font>
      <sz val="18"/>
      <color theme="1"/>
      <name val="Calibri"/>
      <family val="2"/>
      <scheme val="minor"/>
    </font>
    <font>
      <b/>
      <sz val="22"/>
      <color theme="1"/>
      <name val="Calibri"/>
      <family val="2"/>
      <scheme val="minor"/>
    </font>
    <font>
      <b/>
      <sz val="22"/>
      <color theme="1"/>
      <name val="Wingdings 3"/>
      <family val="1"/>
      <charset val="2"/>
    </font>
    <font>
      <sz val="10"/>
      <color theme="1"/>
      <name val="Calibri"/>
      <family val="2"/>
      <scheme val="minor"/>
    </font>
    <font>
      <sz val="12"/>
      <color theme="0"/>
      <name val="Calibri"/>
      <family val="2"/>
      <scheme val="minor"/>
    </font>
    <font>
      <sz val="12"/>
      <color theme="1"/>
      <name val="Calibri"/>
      <family val="2"/>
    </font>
    <font>
      <b/>
      <sz val="14"/>
      <name val="Calibri"/>
      <family val="2"/>
      <scheme val="minor"/>
    </font>
    <font>
      <b/>
      <sz val="14"/>
      <color rgb="FFFFFFFF"/>
      <name val="Calibri"/>
      <family val="2"/>
      <scheme val="minor"/>
    </font>
    <font>
      <b/>
      <sz val="12"/>
      <color theme="1"/>
      <name val="Calibri"/>
      <family val="2"/>
      <scheme val="minor"/>
    </font>
    <font>
      <b/>
      <sz val="14"/>
      <color rgb="FFFF0000"/>
      <name val="Calibri"/>
      <family val="2"/>
      <scheme val="minor"/>
    </font>
    <font>
      <sz val="10"/>
      <color theme="1"/>
      <name val="Calibri"/>
      <family val="2"/>
    </font>
    <font>
      <b/>
      <sz val="15"/>
      <name val="Arial"/>
      <family val="2"/>
    </font>
    <font>
      <sz val="15"/>
      <color theme="1"/>
      <name val="Calibri"/>
      <family val="2"/>
      <scheme val="minor"/>
    </font>
    <font>
      <sz val="15"/>
      <name val="Arial"/>
      <family val="2"/>
    </font>
    <font>
      <sz val="15"/>
      <color theme="1"/>
      <name val="Arial"/>
      <family val="2"/>
    </font>
    <font>
      <b/>
      <sz val="15"/>
      <color theme="1"/>
      <name val="Calibri"/>
      <family val="2"/>
      <scheme val="minor"/>
    </font>
    <font>
      <b/>
      <sz val="15"/>
      <color theme="1"/>
      <name val="Arial"/>
      <family val="2"/>
    </font>
    <font>
      <i/>
      <sz val="15"/>
      <color rgb="FF00B050"/>
      <name val="Arial"/>
      <family val="2"/>
    </font>
    <font>
      <b/>
      <sz val="10"/>
      <name val="Arial"/>
      <family val="2"/>
    </font>
    <font>
      <b/>
      <sz val="24"/>
      <color theme="0"/>
      <name val="Calibri"/>
      <family val="2"/>
      <scheme val="minor"/>
    </font>
    <font>
      <b/>
      <u/>
      <sz val="11"/>
      <color theme="10"/>
      <name val="Calibri"/>
      <family val="2"/>
      <scheme val="minor"/>
    </font>
    <font>
      <b/>
      <u/>
      <sz val="14"/>
      <color theme="10"/>
      <name val="Calibri"/>
      <family val="2"/>
      <scheme val="minor"/>
    </font>
  </fonts>
  <fills count="14">
    <fill>
      <patternFill patternType="none"/>
    </fill>
    <fill>
      <patternFill patternType="gray125"/>
    </fill>
    <fill>
      <patternFill patternType="solid">
        <fgColor rgb="FF009999"/>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FFCC66"/>
        <bgColor indexed="64"/>
      </patternFill>
    </fill>
    <fill>
      <patternFill patternType="solid">
        <fgColor rgb="FF83D9D7"/>
        <bgColor indexed="64"/>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BD99A"/>
        <bgColor indexed="64"/>
      </patternFill>
    </fill>
    <fill>
      <patternFill patternType="solid">
        <fgColor theme="3" tint="0.59999389629810485"/>
        <bgColor indexed="64"/>
      </patternFill>
    </fill>
    <fill>
      <patternFill patternType="solid">
        <fgColor rgb="FFFFF2CC"/>
        <bgColor indexed="64"/>
      </patternFill>
    </fill>
    <fill>
      <patternFill patternType="solid">
        <fgColor theme="0"/>
        <bgColor indexed="64"/>
      </patternFill>
    </fill>
  </fills>
  <borders count="34">
    <border>
      <left/>
      <right/>
      <top/>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n">
        <color theme="0"/>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diagonal/>
    </border>
    <border>
      <left style="thin">
        <color theme="0" tint="-0.34998626667073579"/>
      </left>
      <right style="thin">
        <color theme="0" tint="-0.34998626667073579"/>
      </right>
      <top style="thin">
        <color theme="0" tint="-0.34998626667073579"/>
      </top>
      <bottom/>
      <diagonal/>
    </border>
    <border>
      <left style="thin">
        <color theme="0"/>
      </left>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right/>
      <top style="thin">
        <color theme="0" tint="-0.24994659260841701"/>
      </top>
      <bottom style="medium">
        <color theme="1"/>
      </bottom>
      <diagonal/>
    </border>
    <border>
      <left/>
      <right/>
      <top style="thin">
        <color theme="0" tint="-0.24994659260841701"/>
      </top>
      <bottom/>
      <diagonal/>
    </border>
    <border>
      <left/>
      <right style="thin">
        <color theme="0"/>
      </right>
      <top style="thin">
        <color theme="0" tint="-0.24994659260841701"/>
      </top>
      <bottom style="thin">
        <color theme="0" tint="-0.14996795556505021"/>
      </bottom>
      <diagonal/>
    </border>
    <border>
      <left/>
      <right style="thin">
        <color theme="0"/>
      </right>
      <top style="thin">
        <color theme="0" tint="-0.24994659260841701"/>
      </top>
      <bottom style="thin">
        <color theme="0" tint="-0.24994659260841701"/>
      </bottom>
      <diagonal/>
    </border>
    <border>
      <left/>
      <right/>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s>
  <cellStyleXfs count="6">
    <xf numFmtId="0" fontId="0" fillId="0" borderId="0"/>
    <xf numFmtId="0" fontId="2" fillId="0" borderId="1" applyNumberFormat="0" applyFill="0" applyAlignment="0" applyProtection="0"/>
    <xf numFmtId="0" fontId="9" fillId="0" borderId="0"/>
    <xf numFmtId="0" fontId="1" fillId="8" borderId="0" applyNumberFormat="0" applyBorder="0" applyAlignment="0" applyProtection="0"/>
    <xf numFmtId="0" fontId="16" fillId="0" borderId="0" applyNumberFormat="0" applyFill="0" applyBorder="0" applyAlignment="0" applyProtection="0"/>
    <xf numFmtId="9" fontId="1" fillId="0" borderId="0" applyFont="0" applyFill="0" applyBorder="0" applyAlignment="0" applyProtection="0"/>
  </cellStyleXfs>
  <cellXfs count="192">
    <xf numFmtId="0" fontId="0" fillId="0" borderId="0" xfId="0"/>
    <xf numFmtId="0" fontId="5" fillId="0" borderId="2"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0" fillId="0" borderId="2" xfId="0" applyBorder="1"/>
    <xf numFmtId="0" fontId="0" fillId="0" borderId="5" xfId="0" applyBorder="1"/>
    <xf numFmtId="0" fontId="0" fillId="0" borderId="3" xfId="0" applyBorder="1"/>
    <xf numFmtId="0" fontId="0" fillId="0" borderId="7" xfId="0" applyBorder="1"/>
    <xf numFmtId="0" fontId="0" fillId="0" borderId="4" xfId="0" applyBorder="1"/>
    <xf numFmtId="0" fontId="0" fillId="0" borderId="12" xfId="0" applyBorder="1"/>
    <xf numFmtId="0" fontId="0" fillId="0" borderId="6" xfId="0" applyBorder="1"/>
    <xf numFmtId="0" fontId="0" fillId="0" borderId="13" xfId="0" applyBorder="1"/>
    <xf numFmtId="0" fontId="0" fillId="0" borderId="2" xfId="0" applyBorder="1" applyProtection="1">
      <protection locked="0"/>
    </xf>
    <xf numFmtId="0" fontId="0" fillId="0" borderId="5" xfId="0" applyBorder="1" applyProtection="1">
      <protection locked="0"/>
    </xf>
    <xf numFmtId="0" fontId="0" fillId="0" borderId="0" xfId="0" applyProtection="1">
      <protection locked="0"/>
    </xf>
    <xf numFmtId="0" fontId="0" fillId="0" borderId="2" xfId="0" applyBorder="1" applyAlignment="1">
      <alignment wrapText="1"/>
    </xf>
    <xf numFmtId="0" fontId="0" fillId="0" borderId="2" xfId="0" applyBorder="1" applyAlignment="1">
      <alignment horizontal="left" indent="1"/>
    </xf>
    <xf numFmtId="0" fontId="0" fillId="0" borderId="3" xfId="0" applyBorder="1" applyAlignment="1">
      <alignment wrapText="1"/>
    </xf>
    <xf numFmtId="0" fontId="0" fillId="0" borderId="15" xfId="0" applyBorder="1" applyAlignment="1">
      <alignment wrapText="1"/>
    </xf>
    <xf numFmtId="0" fontId="0" fillId="0" borderId="15" xfId="0" applyBorder="1"/>
    <xf numFmtId="0" fontId="13" fillId="0" borderId="2" xfId="0" applyFont="1" applyBorder="1" applyAlignment="1">
      <alignment horizontal="left" wrapText="1" indent="1"/>
    </xf>
    <xf numFmtId="0" fontId="13" fillId="0" borderId="2" xfId="0" applyFont="1" applyBorder="1" applyAlignment="1">
      <alignment horizontal="left" wrapText="1"/>
    </xf>
    <xf numFmtId="0" fontId="13" fillId="0" borderId="2" xfId="0" applyFont="1" applyBorder="1"/>
    <xf numFmtId="0" fontId="13" fillId="0" borderId="2" xfId="0" applyFont="1" applyBorder="1" applyAlignment="1">
      <alignment wrapText="1"/>
    </xf>
    <xf numFmtId="0" fontId="13" fillId="0" borderId="2" xfId="0" applyFont="1" applyBorder="1" applyAlignment="1">
      <alignment horizontal="center"/>
    </xf>
    <xf numFmtId="0" fontId="12" fillId="7" borderId="2" xfId="0" applyFont="1" applyFill="1" applyBorder="1" applyAlignment="1">
      <alignment horizontal="center" vertical="center" wrapText="1"/>
    </xf>
    <xf numFmtId="0" fontId="0" fillId="0" borderId="2" xfId="0" quotePrefix="1" applyBorder="1" applyAlignment="1">
      <alignment wrapText="1"/>
    </xf>
    <xf numFmtId="0" fontId="3" fillId="3" borderId="11" xfId="0" applyFont="1" applyFill="1" applyBorder="1"/>
    <xf numFmtId="0" fontId="0" fillId="0" borderId="0" xfId="0" applyAlignment="1" applyProtection="1">
      <alignment horizontal="right"/>
      <protection locked="0"/>
    </xf>
    <xf numFmtId="0" fontId="0" fillId="0" borderId="0" xfId="0" applyAlignment="1" applyProtection="1">
      <alignment horizontal="center"/>
      <protection locked="0"/>
    </xf>
    <xf numFmtId="0" fontId="7" fillId="0" borderId="5" xfId="0" applyFont="1" applyBorder="1" applyAlignment="1">
      <alignment horizontal="center"/>
    </xf>
    <xf numFmtId="0" fontId="3" fillId="3" borderId="0" xfId="0" applyFont="1" applyFill="1"/>
    <xf numFmtId="0" fontId="0" fillId="0" borderId="11" xfId="0" applyBorder="1"/>
    <xf numFmtId="0" fontId="6" fillId="4" borderId="7" xfId="1" applyFont="1" applyFill="1" applyBorder="1" applyAlignment="1">
      <alignment horizontal="center" vertical="center" wrapText="1"/>
    </xf>
    <xf numFmtId="0" fontId="0" fillId="0" borderId="2" xfId="0" applyBorder="1" applyAlignment="1">
      <alignment vertical="center" wrapText="1"/>
    </xf>
    <xf numFmtId="0" fontId="0" fillId="0" borderId="14" xfId="0" applyBorder="1" applyAlignment="1">
      <alignment horizontal="center" wrapText="1"/>
    </xf>
    <xf numFmtId="0" fontId="0" fillId="0" borderId="0" xfId="0" applyAlignment="1">
      <alignment horizontal="center" wrapText="1"/>
    </xf>
    <xf numFmtId="0" fontId="13" fillId="0" borderId="8" xfId="0" applyFont="1" applyBorder="1" applyAlignment="1">
      <alignment horizontal="left" vertical="center" wrapText="1" indent="1"/>
    </xf>
    <xf numFmtId="0" fontId="13" fillId="0" borderId="2" xfId="0" applyFont="1" applyBorder="1" applyAlignment="1">
      <alignment horizontal="left" indent="1"/>
    </xf>
    <xf numFmtId="0" fontId="13" fillId="0" borderId="2" xfId="0" applyFont="1" applyBorder="1" applyAlignment="1">
      <alignment horizontal="left" vertical="center" wrapText="1" indent="1"/>
    </xf>
    <xf numFmtId="0" fontId="0" fillId="0" borderId="9" xfId="0" applyBorder="1"/>
    <xf numFmtId="0" fontId="0" fillId="0" borderId="2" xfId="0" applyBorder="1" applyAlignment="1">
      <alignment vertical="center"/>
    </xf>
    <xf numFmtId="0" fontId="13" fillId="0" borderId="4" xfId="0" applyFont="1" applyBorder="1" applyAlignment="1">
      <alignment horizontal="left" indent="1"/>
    </xf>
    <xf numFmtId="0" fontId="0" fillId="0" borderId="5" xfId="0" applyBorder="1" applyAlignment="1">
      <alignment horizontal="left" indent="1"/>
    </xf>
    <xf numFmtId="1" fontId="23" fillId="0" borderId="16" xfId="0" applyNumberFormat="1" applyFont="1" applyBorder="1" applyAlignment="1">
      <alignment horizontal="center"/>
    </xf>
    <xf numFmtId="0" fontId="5" fillId="0" borderId="18" xfId="0" applyFont="1" applyBorder="1" applyAlignment="1">
      <alignment horizontal="center" vertical="center" textRotation="45"/>
    </xf>
    <xf numFmtId="0" fontId="5" fillId="11" borderId="18" xfId="3" applyFont="1" applyFill="1" applyBorder="1" applyAlignment="1">
      <alignment horizontal="center" vertical="center" textRotation="45"/>
    </xf>
    <xf numFmtId="0" fontId="5" fillId="5" borderId="18" xfId="3" applyFont="1" applyFill="1" applyBorder="1" applyAlignment="1">
      <alignment horizontal="center" vertical="center" textRotation="45"/>
    </xf>
    <xf numFmtId="0" fontId="24" fillId="2" borderId="18" xfId="0" applyFont="1" applyFill="1" applyBorder="1" applyAlignment="1">
      <alignment horizontal="center" vertical="center" textRotation="45"/>
    </xf>
    <xf numFmtId="0" fontId="23" fillId="0" borderId="16" xfId="0" applyFont="1" applyBorder="1" applyAlignment="1">
      <alignment horizontal="right" inden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64" fontId="0" fillId="0" borderId="22" xfId="5" applyNumberFormat="1" applyFont="1" applyBorder="1" applyAlignment="1">
      <alignment horizontal="center" vertical="center" wrapText="1"/>
    </xf>
    <xf numFmtId="0" fontId="0" fillId="0" borderId="2" xfId="0" applyBorder="1" applyAlignment="1">
      <alignment horizontal="center" vertical="center"/>
    </xf>
    <xf numFmtId="0" fontId="10" fillId="12" borderId="2" xfId="0" applyFont="1" applyFill="1" applyBorder="1" applyAlignment="1">
      <alignment horizontal="center" vertical="center"/>
    </xf>
    <xf numFmtId="164" fontId="0" fillId="0" borderId="23" xfId="5" applyNumberFormat="1" applyFont="1"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164" fontId="3" fillId="0" borderId="22" xfId="5" applyNumberFormat="1" applyFont="1" applyBorder="1" applyAlignment="1">
      <alignment horizontal="center" vertical="center" wrapText="1"/>
    </xf>
    <xf numFmtId="164" fontId="3" fillId="0" borderId="23" xfId="5" applyNumberFormat="1" applyFont="1" applyBorder="1" applyAlignment="1">
      <alignment horizontal="center" vertical="center"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3" fillId="0" borderId="22" xfId="0" applyFont="1" applyBorder="1" applyAlignment="1">
      <alignment horizontal="left" vertical="center" wrapText="1" indent="11"/>
    </xf>
    <xf numFmtId="0" fontId="3" fillId="0" borderId="24" xfId="0" applyFont="1" applyBorder="1" applyAlignment="1">
      <alignment horizontal="left" vertical="center" wrapText="1" indent="11"/>
    </xf>
    <xf numFmtId="0" fontId="3" fillId="0" borderId="23" xfId="0" applyFont="1" applyBorder="1" applyAlignment="1">
      <alignment horizontal="left" vertical="center" wrapText="1" indent="11"/>
    </xf>
    <xf numFmtId="0" fontId="27" fillId="2" borderId="2" xfId="0" applyFont="1" applyFill="1" applyBorder="1" applyAlignment="1">
      <alignment horizontal="center" vertical="center" wrapText="1"/>
    </xf>
    <xf numFmtId="0" fontId="13" fillId="0" borderId="2" xfId="0" applyFont="1"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12" borderId="0" xfId="0" applyFill="1" applyAlignment="1">
      <alignment horizontal="center" vertical="center" wrapTex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10" fontId="0" fillId="0" borderId="27" xfId="0" applyNumberFormat="1" applyBorder="1"/>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164" fontId="0" fillId="0" borderId="0" xfId="0" applyNumberFormat="1"/>
    <xf numFmtId="164" fontId="3" fillId="0" borderId="0" xfId="0" applyNumberFormat="1" applyFont="1"/>
    <xf numFmtId="0" fontId="0" fillId="0" borderId="16" xfId="0" applyBorder="1"/>
    <xf numFmtId="0" fontId="23" fillId="0" borderId="16" xfId="0" applyFont="1" applyBorder="1" applyAlignment="1">
      <alignment horizontal="center"/>
    </xf>
    <xf numFmtId="0" fontId="3" fillId="12" borderId="0" xfId="0" applyFont="1" applyFill="1" applyAlignment="1">
      <alignment horizontal="center" vertical="center" wrapText="1"/>
    </xf>
    <xf numFmtId="0" fontId="3" fillId="0" borderId="0" xfId="0" applyFont="1" applyAlignment="1">
      <alignment horizontal="left"/>
    </xf>
    <xf numFmtId="0" fontId="3" fillId="0" borderId="27" xfId="0" applyFont="1" applyBorder="1" applyAlignment="1">
      <alignment horizontal="left"/>
    </xf>
    <xf numFmtId="0" fontId="9" fillId="0" borderId="0" xfId="2"/>
    <xf numFmtId="0" fontId="28" fillId="0" borderId="7" xfId="0" applyFont="1" applyBorder="1" applyAlignment="1">
      <alignment horizontal="left"/>
    </xf>
    <xf numFmtId="0" fontId="38" fillId="9" borderId="0" xfId="2" applyFont="1" applyFill="1" applyAlignment="1">
      <alignment vertical="center"/>
    </xf>
    <xf numFmtId="0" fontId="40" fillId="0" borderId="26" xfId="4" applyFont="1" applyBorder="1" applyAlignment="1">
      <alignment horizontal="left" vertical="center" wrapText="1"/>
    </xf>
    <xf numFmtId="0" fontId="41" fillId="13" borderId="25" xfId="4" applyFont="1" applyFill="1" applyBorder="1" applyAlignment="1">
      <alignment horizontal="left" vertical="center" wrapText="1"/>
    </xf>
    <xf numFmtId="0" fontId="21" fillId="10" borderId="4" xfId="0" applyFont="1" applyFill="1" applyBorder="1" applyAlignment="1">
      <alignment horizontal="center" vertical="center" wrapText="1"/>
    </xf>
    <xf numFmtId="0" fontId="22" fillId="0" borderId="2" xfId="0" applyFont="1" applyBorder="1" applyAlignment="1">
      <alignment horizontal="center" vertical="center"/>
    </xf>
    <xf numFmtId="0" fontId="21" fillId="10" borderId="5" xfId="0" applyFont="1" applyFill="1" applyBorder="1" applyAlignment="1">
      <alignment horizontal="center" vertical="center" wrapText="1"/>
    </xf>
    <xf numFmtId="0" fontId="13" fillId="3" borderId="4" xfId="0" applyFont="1" applyFill="1" applyBorder="1" applyAlignment="1">
      <alignment horizontal="left" vertical="top" wrapText="1" indent="1"/>
    </xf>
    <xf numFmtId="0" fontId="13" fillId="0" borderId="2" xfId="0" applyFont="1" applyBorder="1" applyAlignment="1">
      <alignment horizontal="left" vertical="top" wrapText="1"/>
    </xf>
    <xf numFmtId="0" fontId="13" fillId="3" borderId="4" xfId="0" quotePrefix="1" applyFont="1" applyFill="1" applyBorder="1" applyAlignment="1">
      <alignment horizontal="left" vertical="top" wrapText="1" indent="1"/>
    </xf>
    <xf numFmtId="0" fontId="13" fillId="3" borderId="8" xfId="0" quotePrefix="1" applyFont="1" applyFill="1" applyBorder="1" applyAlignment="1">
      <alignment horizontal="left" vertical="top" wrapText="1" indent="1"/>
    </xf>
    <xf numFmtId="0" fontId="13" fillId="0" borderId="2" xfId="0" applyFont="1" applyBorder="1" applyAlignment="1">
      <alignment horizontal="left"/>
    </xf>
    <xf numFmtId="0" fontId="13" fillId="0" borderId="4" xfId="0" applyFont="1" applyBorder="1" applyAlignment="1">
      <alignment horizontal="left"/>
    </xf>
    <xf numFmtId="0" fontId="19" fillId="2" borderId="17" xfId="0" applyFont="1" applyFill="1" applyBorder="1" applyAlignment="1">
      <alignment horizontal="center" vertical="center" wrapText="1"/>
    </xf>
    <xf numFmtId="0" fontId="20" fillId="0" borderId="2" xfId="0" applyFont="1" applyBorder="1" applyAlignment="1">
      <alignment horizontal="center"/>
    </xf>
    <xf numFmtId="0" fontId="13" fillId="0" borderId="7" xfId="0" applyFont="1" applyBorder="1" applyAlignment="1">
      <alignment horizontal="left"/>
    </xf>
    <xf numFmtId="0" fontId="13" fillId="0" borderId="7" xfId="0" applyFont="1" applyBorder="1"/>
    <xf numFmtId="0" fontId="31" fillId="11" borderId="22" xfId="0" applyFont="1" applyFill="1" applyBorder="1" applyAlignment="1">
      <alignment horizontal="left" vertical="center" wrapText="1" indent="1"/>
    </xf>
    <xf numFmtId="0" fontId="32" fillId="0" borderId="8" xfId="0" applyFont="1" applyBorder="1" applyAlignment="1">
      <alignment horizontal="left" vertical="center" indent="1"/>
    </xf>
    <xf numFmtId="0" fontId="33" fillId="11" borderId="22" xfId="0" applyFont="1" applyFill="1" applyBorder="1" applyAlignment="1">
      <alignment horizontal="left" vertical="center" wrapText="1" indent="1"/>
    </xf>
    <xf numFmtId="0" fontId="34" fillId="11" borderId="22" xfId="0" applyFont="1" applyFill="1" applyBorder="1" applyAlignment="1">
      <alignment horizontal="left" vertical="center" wrapText="1" indent="1"/>
    </xf>
    <xf numFmtId="0" fontId="32" fillId="0" borderId="8" xfId="0" applyFont="1" applyBorder="1" applyAlignment="1">
      <alignment horizontal="left" vertical="center"/>
    </xf>
    <xf numFmtId="0" fontId="32" fillId="11" borderId="2" xfId="0" applyFont="1" applyFill="1" applyBorder="1" applyAlignment="1">
      <alignment horizontal="center" vertical="center"/>
    </xf>
    <xf numFmtId="0" fontId="32" fillId="0" borderId="5" xfId="0" applyFont="1" applyBorder="1" applyAlignment="1">
      <alignment horizontal="center" vertical="center"/>
    </xf>
    <xf numFmtId="0" fontId="35" fillId="11" borderId="2" xfId="0" applyFont="1" applyFill="1" applyBorder="1" applyAlignment="1">
      <alignment horizontal="center" vertical="center"/>
    </xf>
    <xf numFmtId="0" fontId="33" fillId="0" borderId="22" xfId="0" applyFont="1" applyBorder="1" applyAlignment="1">
      <alignment horizontal="left" vertical="center" wrapText="1" indent="1"/>
    </xf>
    <xf numFmtId="0" fontId="34" fillId="0" borderId="22" xfId="0" applyFont="1" applyBorder="1" applyAlignment="1">
      <alignment horizontal="left" vertical="center" wrapText="1" indent="1"/>
    </xf>
    <xf numFmtId="0" fontId="5" fillId="0" borderId="2" xfId="0" applyFont="1" applyBorder="1" applyProtection="1">
      <protection locked="0"/>
    </xf>
    <xf numFmtId="0" fontId="5" fillId="0" borderId="4" xfId="0" applyFont="1" applyBorder="1" applyProtection="1">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top"/>
      <protection locked="0"/>
    </xf>
    <xf numFmtId="0" fontId="25" fillId="0" borderId="2" xfId="0" applyFont="1" applyBorder="1" applyProtection="1">
      <protection locked="0"/>
    </xf>
    <xf numFmtId="0" fontId="5" fillId="0" borderId="2" xfId="0" applyFont="1" applyBorder="1" applyAlignment="1" applyProtection="1">
      <alignment horizontal="left"/>
      <protection locked="0"/>
    </xf>
    <xf numFmtId="0" fontId="32" fillId="0" borderId="8" xfId="0" applyFont="1" applyBorder="1" applyAlignment="1" applyProtection="1">
      <alignment horizontal="left" vertical="center" indent="1"/>
      <protection locked="0"/>
    </xf>
    <xf numFmtId="0" fontId="32" fillId="0" borderId="8" xfId="0" applyFont="1" applyBorder="1" applyAlignment="1" applyProtection="1">
      <alignment horizontal="left" vertical="center"/>
      <protection locked="0"/>
    </xf>
    <xf numFmtId="0" fontId="32" fillId="0" borderId="5" xfId="0" applyFont="1" applyBorder="1" applyAlignment="1" applyProtection="1">
      <alignment horizontal="center" vertical="center"/>
      <protection locked="0"/>
    </xf>
    <xf numFmtId="0" fontId="31" fillId="0" borderId="22" xfId="0" applyFont="1" applyBorder="1" applyAlignment="1" applyProtection="1">
      <alignment horizontal="left" vertical="center" wrapText="1" indent="1"/>
      <protection locked="0"/>
    </xf>
    <xf numFmtId="0" fontId="33" fillId="0" borderId="22" xfId="0" applyFont="1" applyBorder="1" applyAlignment="1" applyProtection="1">
      <alignment horizontal="left" vertical="center" wrapText="1" indent="1"/>
      <protection locked="0"/>
    </xf>
    <xf numFmtId="0" fontId="36" fillId="3" borderId="2" xfId="0" applyFont="1" applyFill="1" applyBorder="1" applyAlignment="1" applyProtection="1">
      <alignment horizontal="center" vertical="center" wrapText="1"/>
      <protection locked="0"/>
    </xf>
    <xf numFmtId="0" fontId="34" fillId="9" borderId="0" xfId="0" applyFont="1" applyFill="1" applyAlignment="1" applyProtection="1">
      <alignment horizontal="center" vertical="center" wrapText="1"/>
      <protection locked="0"/>
    </xf>
    <xf numFmtId="0" fontId="37" fillId="0" borderId="22" xfId="0" applyFont="1" applyBorder="1" applyAlignment="1" applyProtection="1">
      <alignment horizontal="left" vertical="center" wrapText="1" indent="1"/>
      <protection locked="0"/>
    </xf>
    <xf numFmtId="0" fontId="5" fillId="0" borderId="3" xfId="0" applyFont="1" applyBorder="1" applyProtection="1">
      <protection locked="0"/>
    </xf>
    <xf numFmtId="0" fontId="15" fillId="0" borderId="0" xfId="0" applyFont="1" applyAlignment="1" applyProtection="1">
      <alignment horizontal="left" vertical="center" wrapText="1"/>
      <protection locked="0"/>
    </xf>
    <xf numFmtId="0" fontId="5" fillId="0" borderId="28" xfId="0" applyFont="1" applyBorder="1" applyAlignment="1">
      <alignment horizontal="center" vertical="center" textRotation="45"/>
    </xf>
    <xf numFmtId="0" fontId="5" fillId="0" borderId="29" xfId="0" applyFont="1" applyBorder="1" applyAlignment="1">
      <alignment horizontal="center" vertical="center" textRotation="45"/>
    </xf>
    <xf numFmtId="0" fontId="5" fillId="11" borderId="29" xfId="3" applyFont="1" applyFill="1" applyBorder="1" applyAlignment="1" applyProtection="1">
      <alignment horizontal="center" vertical="center" textRotation="45"/>
    </xf>
    <xf numFmtId="0" fontId="5" fillId="5" borderId="29" xfId="3" applyFont="1" applyFill="1" applyBorder="1" applyAlignment="1" applyProtection="1">
      <alignment horizontal="center" vertical="center" textRotation="45"/>
    </xf>
    <xf numFmtId="0" fontId="24" fillId="2" borderId="30" xfId="0" applyFont="1" applyFill="1" applyBorder="1" applyAlignment="1">
      <alignment horizontal="center" vertical="center" textRotation="45"/>
    </xf>
    <xf numFmtId="0" fontId="23" fillId="0" borderId="31" xfId="0" applyFont="1" applyBorder="1"/>
    <xf numFmtId="0" fontId="23" fillId="0" borderId="32" xfId="0" applyFont="1" applyBorder="1"/>
    <xf numFmtId="0" fontId="30" fillId="0" borderId="32" xfId="0" applyFont="1" applyBorder="1" applyAlignment="1">
      <alignment horizontal="center"/>
    </xf>
    <xf numFmtId="0" fontId="23" fillId="0" borderId="32" xfId="0" applyFont="1" applyBorder="1" applyAlignment="1">
      <alignment horizontal="right" indent="1"/>
    </xf>
    <xf numFmtId="1" fontId="23" fillId="0" borderId="33" xfId="0" applyNumberFormat="1" applyFont="1" applyBorder="1" applyAlignment="1">
      <alignment horizontal="center"/>
    </xf>
    <xf numFmtId="0" fontId="0" fillId="0" borderId="27" xfId="0" applyBorder="1"/>
    <xf numFmtId="0" fontId="14" fillId="0" borderId="4"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5" xfId="0" applyFont="1" applyBorder="1" applyAlignment="1">
      <alignment horizontal="left" vertical="center" wrapText="1" indent="1"/>
    </xf>
    <xf numFmtId="0" fontId="13" fillId="5" borderId="4" xfId="0" applyFont="1" applyFill="1" applyBorder="1" applyAlignment="1">
      <alignment horizontal="left" vertical="center" wrapText="1" indent="1"/>
    </xf>
    <xf numFmtId="0" fontId="13" fillId="5" borderId="8" xfId="0" applyFont="1" applyFill="1" applyBorder="1" applyAlignment="1">
      <alignment horizontal="left" vertical="center" wrapText="1" indent="1"/>
    </xf>
    <xf numFmtId="0" fontId="13" fillId="5" borderId="5" xfId="0" applyFont="1" applyFill="1" applyBorder="1" applyAlignment="1">
      <alignment horizontal="left" vertical="center" wrapText="1" indent="1"/>
    </xf>
    <xf numFmtId="0" fontId="11" fillId="6" borderId="4"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3" fillId="0" borderId="4" xfId="0" applyFont="1" applyBorder="1" applyAlignment="1">
      <alignment vertical="center" wrapText="1"/>
    </xf>
    <xf numFmtId="0" fontId="13" fillId="0" borderId="8" xfId="0" applyFont="1" applyBorder="1" applyAlignment="1">
      <alignment vertical="center" wrapText="1"/>
    </xf>
    <xf numFmtId="0" fontId="13" fillId="0" borderId="5" xfId="0" applyFont="1" applyBorder="1" applyAlignment="1">
      <alignment vertical="center" wrapText="1"/>
    </xf>
    <xf numFmtId="0" fontId="14" fillId="0" borderId="4" xfId="0" applyFont="1" applyBorder="1" applyAlignment="1">
      <alignment horizontal="left" vertical="center" wrapText="1"/>
    </xf>
    <xf numFmtId="0" fontId="14" fillId="0" borderId="8"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quotePrefix="1" applyFont="1" applyBorder="1" applyAlignment="1">
      <alignment horizontal="left" vertical="center" wrapText="1"/>
    </xf>
    <xf numFmtId="0" fontId="14" fillId="0" borderId="8" xfId="0" quotePrefix="1" applyFont="1" applyBorder="1" applyAlignment="1">
      <alignment horizontal="left" vertical="center" wrapText="1"/>
    </xf>
    <xf numFmtId="0" fontId="14" fillId="0" borderId="5" xfId="0" quotePrefix="1" applyFont="1" applyBorder="1" applyAlignment="1">
      <alignment horizontal="left" vertical="center" wrapText="1"/>
    </xf>
    <xf numFmtId="0" fontId="13" fillId="0" borderId="4"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5" xfId="0" applyFont="1" applyBorder="1" applyAlignment="1">
      <alignment horizontal="left" vertical="center" wrapText="1" indent="1"/>
    </xf>
    <xf numFmtId="0" fontId="0" fillId="0" borderId="14"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3" fillId="0" borderId="4" xfId="0" applyFont="1" applyBorder="1" applyAlignment="1">
      <alignment horizontal="left" vertical="top" wrapText="1"/>
    </xf>
    <xf numFmtId="0" fontId="13" fillId="0" borderId="8" xfId="0" applyFont="1" applyBorder="1" applyAlignment="1">
      <alignment horizontal="left" vertical="top" wrapText="1"/>
    </xf>
    <xf numFmtId="0" fontId="13" fillId="0" borderId="5" xfId="0" applyFont="1" applyBorder="1" applyAlignment="1">
      <alignment horizontal="left" vertical="top"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9" fillId="5" borderId="4"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13" fillId="0" borderId="20" xfId="0" applyFont="1" applyBorder="1" applyAlignment="1">
      <alignment horizontal="left" vertical="center" wrapText="1"/>
    </xf>
    <xf numFmtId="0" fontId="13" fillId="13" borderId="19" xfId="0" applyFont="1" applyFill="1" applyBorder="1" applyAlignment="1">
      <alignment horizontal="left" vertical="center" wrapText="1"/>
    </xf>
    <xf numFmtId="0" fontId="13" fillId="13" borderId="20" xfId="0" applyFont="1" applyFill="1" applyBorder="1" applyAlignment="1">
      <alignment horizontal="left" vertical="center" wrapText="1"/>
    </xf>
    <xf numFmtId="0" fontId="21" fillId="10" borderId="4"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17" fillId="0" borderId="8" xfId="0" applyFont="1" applyBorder="1" applyAlignment="1">
      <alignment horizontal="left" wrapText="1"/>
    </xf>
    <xf numFmtId="0" fontId="18" fillId="0" borderId="8" xfId="0" applyFont="1" applyBorder="1" applyAlignment="1">
      <alignment horizontal="left" wrapText="1"/>
    </xf>
    <xf numFmtId="0" fontId="18" fillId="0" borderId="5" xfId="0" applyFont="1" applyBorder="1" applyAlignment="1">
      <alignment horizontal="left" wrapText="1"/>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27" fillId="2" borderId="4"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7" fillId="0" borderId="4" xfId="0" applyFont="1" applyBorder="1" applyAlignment="1">
      <alignment horizontal="center"/>
    </xf>
    <xf numFmtId="0" fontId="7" fillId="0" borderId="8" xfId="0" applyFont="1" applyBorder="1" applyAlignment="1">
      <alignment horizontal="center"/>
    </xf>
    <xf numFmtId="0" fontId="7" fillId="0" borderId="5" xfId="0" applyFont="1" applyBorder="1" applyAlignment="1">
      <alignment horizontal="center"/>
    </xf>
  </cellXfs>
  <cellStyles count="6">
    <cellStyle name="20% - Accent5" xfId="3" builtinId="46"/>
    <cellStyle name="Heading 3" xfId="1" builtinId="18"/>
    <cellStyle name="Hyperlink" xfId="4" builtinId="8"/>
    <cellStyle name="Normal" xfId="0" builtinId="0"/>
    <cellStyle name="Normal 2" xfId="2" xr:uid="{07762A8A-3902-4AC7-9BE7-81EA482B0B3D}"/>
    <cellStyle name="Percent" xfId="5" builtinId="5"/>
  </cellStyles>
  <dxfs count="220">
    <dxf>
      <font>
        <b/>
        <i val="0"/>
        <color rgb="FFC00000"/>
      </font>
      <fill>
        <patternFill>
          <bgColor theme="7" tint="0.59996337778862885"/>
        </patternFill>
      </fill>
    </dxf>
    <dxf>
      <font>
        <b/>
        <i val="0"/>
        <color auto="1"/>
      </font>
      <fill>
        <patternFill>
          <bgColor theme="5" tint="0.39994506668294322"/>
        </patternFill>
      </fill>
    </dxf>
    <dxf>
      <font>
        <b/>
        <i val="0"/>
        <strike val="0"/>
        <color theme="5" tint="-0.499984740745262"/>
      </font>
      <fill>
        <patternFill>
          <bgColor theme="7" tint="0.79998168889431442"/>
        </patternFill>
      </fill>
    </dxf>
    <dxf>
      <font>
        <b/>
        <i val="0"/>
        <strike val="0"/>
        <color theme="1"/>
      </font>
      <fill>
        <patternFill>
          <bgColor theme="5" tint="0.59996337778862885"/>
        </patternFill>
      </fill>
    </dxf>
    <dxf>
      <font>
        <b/>
        <i val="0"/>
        <strike val="0"/>
        <color theme="1"/>
      </font>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C00000"/>
      </font>
      <fill>
        <patternFill>
          <bgColor theme="7" tint="0.59996337778862885"/>
        </patternFill>
      </fill>
    </dxf>
    <dxf>
      <font>
        <b/>
        <i val="0"/>
        <color auto="1"/>
      </font>
      <fill>
        <patternFill>
          <bgColor theme="5" tint="0.39994506668294322"/>
        </patternFill>
      </fill>
    </dxf>
    <dxf>
      <font>
        <b/>
        <i val="0"/>
        <strike val="0"/>
        <color theme="5" tint="-0.499984740745262"/>
      </font>
      <fill>
        <patternFill>
          <bgColor theme="7" tint="0.79998168889431442"/>
        </patternFill>
      </fill>
    </dxf>
    <dxf>
      <font>
        <b/>
        <i val="0"/>
        <strike val="0"/>
        <color theme="1"/>
      </font>
      <fill>
        <patternFill>
          <bgColor theme="5" tint="0.59996337778862885"/>
        </patternFill>
      </fill>
    </dxf>
    <dxf>
      <font>
        <b val="0"/>
        <i val="0"/>
        <strike val="0"/>
        <color theme="1"/>
      </font>
      <fill>
        <patternFill>
          <bgColor theme="0" tint="-4.9989318521683403E-2"/>
        </patternFill>
      </fill>
    </dxf>
    <dxf>
      <font>
        <b/>
        <i val="0"/>
      </font>
      <numFmt numFmtId="30" formatCode="@"/>
      <fill>
        <patternFill>
          <bgColor rgb="FFF7E9D4"/>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family val="2"/>
        <scheme val="minor"/>
      </font>
      <numFmt numFmtId="1" formatCode="0"/>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condense val="0"/>
        <extend val="0"/>
        <outline val="0"/>
        <shadow val="0"/>
        <u val="none"/>
        <vertAlign val="baseline"/>
        <sz val="10"/>
        <color theme="1"/>
        <name val="Calibri"/>
        <family val="2"/>
        <scheme val="minor"/>
      </font>
      <alignment horizontal="right" vertical="bottom" textRotation="0" wrapText="0"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style="thin">
          <color theme="0" tint="-0.14996795556505021"/>
        </left>
        <right style="thin">
          <color theme="0" tint="-0.14996795556505021"/>
        </right>
        <top/>
        <bottom/>
        <vertical style="thin">
          <color theme="0" tint="-0.14996795556505021"/>
        </vertical>
        <horizontal/>
      </border>
    </dxf>
    <dxf>
      <numFmt numFmtId="0" formatCode="General"/>
      <border diagonalUp="0" diagonalDown="0">
        <left style="thin">
          <color theme="0" tint="-0.14996795556505021"/>
        </left>
        <right style="thin">
          <color theme="0" tint="-0.14996795556505021"/>
        </right>
        <top/>
        <bottom/>
        <vertical style="thin">
          <color theme="0" tint="-0.14996795556505021"/>
        </vertical>
        <horizontal/>
      </border>
    </dxf>
    <dxf>
      <numFmt numFmtId="0" formatCode="General"/>
      <border diagonalUp="0" diagonalDown="0">
        <left style="thin">
          <color theme="0" tint="-0.14996795556505021"/>
        </left>
        <right style="thin">
          <color theme="0" tint="-0.14996795556505021"/>
        </right>
        <top/>
        <bottom/>
        <vertical style="thin">
          <color theme="0" tint="-0.14996795556505021"/>
        </vertical>
        <horizontal/>
      </border>
    </dxf>
    <dxf>
      <numFmt numFmtId="0" formatCode="General"/>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7" tint="0.79998168889431442"/>
        </patternFill>
      </fill>
      <alignment horizontal="center" vertical="center" textRotation="45" wrapText="0" indent="0" justifyLastLine="0" shrinkToFit="0" readingOrder="0"/>
      <border diagonalUp="0" diagonalDown="0" outline="0">
        <left style="thin">
          <color theme="0" tint="-0.34998626667073579"/>
        </left>
        <right style="thin">
          <color theme="0" tint="-0.34998626667073579"/>
        </right>
        <top/>
        <bottom/>
      </border>
    </dxf>
    <dxf>
      <font>
        <b/>
      </font>
    </dxf>
    <dxf>
      <font>
        <b/>
      </font>
    </dxf>
    <dxf>
      <font>
        <b/>
      </font>
    </dxf>
    <dxf>
      <font>
        <b/>
      </font>
    </dxf>
    <dxf>
      <font>
        <b/>
      </font>
    </dxf>
    <dxf>
      <numFmt numFmtId="164" formatCode="0.0%"/>
    </dxf>
    <dxf>
      <numFmt numFmtId="164" formatCode="0.0%"/>
    </dxf>
    <dxf>
      <numFmt numFmtId="164" formatCode="0.0%"/>
    </dxf>
    <dxf>
      <border>
        <bottom style="thin">
          <color indexed="64"/>
        </bottom>
      </border>
    </dxf>
    <dxf>
      <border>
        <bottom style="thin">
          <color indexed="64"/>
        </bottom>
      </border>
    </dxf>
    <dxf>
      <alignment vertical="center"/>
    </dxf>
    <dxf>
      <alignment vertical="center"/>
    </dxf>
    <dxf>
      <alignment horizontal="center"/>
    </dxf>
    <dxf>
      <alignment horizontal="center"/>
    </dxf>
    <dxf>
      <alignment wrapText="1"/>
    </dxf>
    <dxf>
      <alignment wrapText="1"/>
    </dxf>
    <dxf>
      <fill>
        <patternFill patternType="solid">
          <bgColor rgb="FFFFF2CC"/>
        </patternFill>
      </fill>
    </dxf>
    <dxf>
      <fill>
        <patternFill patternType="solid">
          <bgColor rgb="FFFFF2CC"/>
        </patternFill>
      </fill>
    </dxf>
    <dxf>
      <font>
        <strike val="0"/>
        <outline val="0"/>
        <shadow val="0"/>
        <u val="none"/>
        <vertAlign val="baseline"/>
        <sz val="10"/>
        <name val="Calibri"/>
        <family val="2"/>
        <scheme val="minor"/>
      </font>
      <numFmt numFmtId="1" formatCode="0"/>
      <alignment horizontal="center" vertical="bottom" wrapText="0" indent="0" justifyLastLine="0" shrinkToFit="0" readingOrder="0"/>
      <protection locked="1" hidden="0"/>
    </dxf>
    <dxf>
      <font>
        <strike val="0"/>
        <outline val="0"/>
        <shadow val="0"/>
        <u val="none"/>
        <vertAlign val="baseline"/>
        <sz val="10"/>
        <name val="Calibri"/>
        <family val="2"/>
        <scheme val="minor"/>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1" hidden="0"/>
    </dxf>
    <dxf>
      <font>
        <strike val="0"/>
        <outline val="0"/>
        <shadow val="0"/>
        <u val="none"/>
        <vertAlign val="baseline"/>
        <sz val="10"/>
        <name val="Calibri"/>
        <family val="2"/>
        <scheme val="none"/>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none"/>
      </font>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border diagonalUp="0" diagonalDown="0">
        <left style="thin">
          <color theme="0"/>
        </left>
        <right style="thin">
          <color theme="0"/>
        </right>
        <top style="thin">
          <color theme="0" tint="-0.14996795556505021"/>
        </top>
        <bottom/>
      </border>
    </dxf>
    <dxf>
      <font>
        <strike val="0"/>
        <outline val="0"/>
        <shadow val="0"/>
        <u val="none"/>
        <vertAlign val="baseline"/>
        <sz val="10"/>
        <name val="Calibri"/>
        <family val="2"/>
        <scheme val="minor"/>
      </font>
      <protection locked="1" hidden="0"/>
    </dxf>
    <dxf>
      <border>
        <bottom style="thin">
          <color theme="0" tint="-0.34998626667073579"/>
        </bottom>
      </border>
    </dxf>
    <dxf>
      <font>
        <b val="0"/>
        <i val="0"/>
        <strike val="0"/>
        <condense val="0"/>
        <extend val="0"/>
        <outline val="0"/>
        <shadow val="0"/>
        <u val="none"/>
        <vertAlign val="baseline"/>
        <sz val="12"/>
        <color theme="1"/>
        <name val="Calibri"/>
        <family val="2"/>
        <scheme val="minor"/>
      </font>
      <fill>
        <patternFill patternType="solid">
          <fgColor indexed="64"/>
          <bgColor theme="7" tint="0.79998168889431442"/>
        </patternFill>
      </fill>
      <alignment horizontal="center" vertical="center" textRotation="45" wrapText="0" indent="0" justifyLastLine="0" shrinkToFit="0" readingOrder="0"/>
      <border diagonalUp="0" diagonalDown="0">
        <left style="thin">
          <color theme="0" tint="-0.34998626667073579"/>
        </left>
        <right style="thin">
          <color theme="0" tint="-0.34998626667073579"/>
        </right>
        <top/>
        <bottom/>
      </border>
      <protection locked="1" hidden="0"/>
    </dxf>
    <dxf>
      <font>
        <b/>
      </font>
      <fill>
        <patternFill patternType="solid">
          <fgColor indexed="64"/>
          <bgColor theme="0" tint="-0.14999847407452621"/>
        </patternFill>
      </fill>
      <alignment horizontal="general" vertical="center" textRotation="0" wrapText="0" indent="0" justifyLastLine="0" shrinkToFit="0" readingOrder="0"/>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i val="0"/>
        <color theme="1"/>
      </font>
      <fill>
        <patternFill>
          <bgColor rgb="FFFFCC99"/>
        </patternFill>
      </fill>
      <border>
        <top style="double">
          <color theme="6"/>
        </top>
      </border>
    </dxf>
    <dxf>
      <font>
        <b/>
        <i val="0"/>
        <strike val="0"/>
        <color auto="1"/>
      </font>
      <fill>
        <patternFill patternType="solid">
          <fgColor theme="0" tint="-4.9989318521683403E-2"/>
          <bgColor rgb="FF009999"/>
        </patternFill>
      </fill>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border>
        <left style="thin">
          <color theme="6"/>
        </left>
        <right style="thin">
          <color theme="6"/>
        </right>
        <top style="thin">
          <color theme="6"/>
        </top>
        <bottom style="thin">
          <color theme="6"/>
        </bottom>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strike val="0"/>
        <color auto="1"/>
      </font>
      <fill>
        <patternFill patternType="solid">
          <fgColor theme="0" tint="-4.9989318521683403E-2"/>
          <bgColor theme="0" tint="-0.14996795556505021"/>
        </patternFill>
      </fill>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horizontal>
      </border>
    </dxf>
    <dxf>
      <border>
        <left/>
        <right/>
        <top style="thin">
          <color theme="0" tint="-4.9989318521683403E-2"/>
        </top>
        <bottom style="thin">
          <color theme="0" tint="-4.9989318521683403E-2"/>
        </bottom>
        <vertical/>
        <horizontal style="thin">
          <color theme="0" tint="-4.9989318521683403E-2"/>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diagonalUp="0" diagonalDown="0">
        <left/>
        <right/>
        <top/>
        <bottom/>
        <vertical/>
        <horizontal/>
      </border>
    </dxf>
    <dxf>
      <font>
        <b/>
        <i val="0"/>
        <color auto="1"/>
      </font>
      <fill>
        <patternFill>
          <bgColor rgb="FFFFF2CC"/>
        </patternFill>
      </fill>
      <border diagonalUp="0" diagonalDown="0">
        <left/>
        <right/>
        <top/>
        <bottom style="thin">
          <color theme="0" tint="-0.24994659260841701"/>
        </bottom>
        <vertical style="thin">
          <color theme="0"/>
        </vertical>
        <horizontal/>
      </border>
    </dxf>
    <dxf>
      <font>
        <color theme="1"/>
      </font>
      <border diagonalUp="0" diagonalDown="0">
        <left/>
        <right/>
        <top style="thin">
          <color theme="0" tint="-0.24994659260841701"/>
        </top>
        <bottom style="thin">
          <color theme="0" tint="-0.24994659260841701"/>
        </bottom>
        <vertical/>
        <horizontal style="thin">
          <color theme="0" tint="-0.24994659260841701"/>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24994659260841701"/>
        </top>
        <bottom style="thin">
          <color theme="0" tint="-0.24994659260841701"/>
        </bottom>
        <vertical/>
        <horizontal/>
      </border>
    </dxf>
    <dxf>
      <font>
        <b/>
        <i val="0"/>
        <color auto="1"/>
      </font>
      <fill>
        <patternFill>
          <bgColor rgb="FFFFF2CC"/>
        </patternFill>
      </fill>
      <border diagonalUp="0" diagonalDown="0">
        <left/>
        <right/>
        <top/>
        <bottom style="thin">
          <color theme="0" tint="-0.24994659260841701"/>
        </bottom>
        <vertical style="thin">
          <color theme="0"/>
        </vertical>
        <horizontal/>
      </border>
    </dxf>
    <dxf>
      <font>
        <color theme="1"/>
      </font>
      <border diagonalUp="0" diagonalDown="0">
        <left/>
        <right/>
        <top style="thin">
          <color theme="0" tint="-0.24994659260841701"/>
        </top>
        <bottom style="thin">
          <color theme="0" tint="-0.24994659260841701"/>
        </bottom>
        <vertical/>
        <horizontal style="thin">
          <color theme="0" tint="-0.24994659260841701"/>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24994659260841701"/>
        </top>
        <bottom style="thin">
          <color theme="1"/>
        </bottom>
        <vertical/>
        <horizontal/>
      </border>
    </dxf>
    <dxf>
      <font>
        <b/>
        <i val="0"/>
        <color auto="1"/>
      </font>
      <fill>
        <patternFill>
          <bgColor rgb="FFFFF2CC"/>
        </patternFill>
      </fill>
      <border diagonalUp="0" diagonalDown="0">
        <left/>
        <right/>
        <top/>
        <bottom style="thin">
          <color theme="0" tint="-0.24994659260841701"/>
        </bottom>
        <vertical style="thin">
          <color theme="0"/>
        </vertical>
        <horizontal/>
      </border>
    </dxf>
    <dxf>
      <font>
        <color theme="1"/>
      </font>
      <border diagonalUp="0" diagonalDown="0">
        <left/>
        <right/>
        <top style="thin">
          <color theme="0" tint="-0.24994659260841701"/>
        </top>
        <bottom style="thin">
          <color theme="0" tint="-0.24994659260841701"/>
        </bottom>
        <vertical/>
        <horizontal style="thin">
          <color theme="0" tint="-0.24994659260841701"/>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24994659260841701"/>
        </top>
        <bottom style="thin">
          <color theme="0" tint="-0.24994659260841701"/>
        </bottom>
        <vertical/>
        <horizontal/>
      </border>
    </dxf>
    <dxf>
      <font>
        <b/>
        <i val="0"/>
        <color auto="1"/>
      </font>
      <fill>
        <patternFill>
          <bgColor rgb="FFFFF2CC"/>
        </patternFill>
      </fill>
      <border diagonalUp="0" diagonalDown="0">
        <left/>
        <right/>
        <top/>
        <bottom style="thin">
          <color theme="0" tint="-0.24994659260841701"/>
        </bottom>
        <vertical style="thin">
          <color theme="0"/>
        </vertical>
        <horizontal/>
      </border>
    </dxf>
    <dxf>
      <font>
        <color theme="1"/>
      </font>
      <border diagonalUp="0" diagonalDown="0">
        <left/>
        <right/>
        <top style="thin">
          <color theme="0" tint="-0.24994659260841701"/>
        </top>
        <bottom style="thin">
          <color theme="0" tint="-0.24994659260841701"/>
        </bottom>
        <vertical/>
        <horizontal style="thin">
          <color theme="0" tint="-0.24994659260841701"/>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24994659260841701"/>
        </top>
        <bottom style="thin">
          <color theme="0" tint="-0.24994659260841701"/>
        </bottom>
        <vertical/>
        <horizontal/>
      </border>
    </dxf>
    <dxf>
      <font>
        <b/>
        <i val="0"/>
        <color auto="1"/>
      </font>
      <fill>
        <patternFill>
          <bgColor rgb="FFFFF2CC"/>
        </patternFill>
      </fill>
      <border diagonalUp="0" diagonalDown="0">
        <left/>
        <right/>
        <top/>
        <bottom/>
        <vertical style="thin">
          <color theme="0"/>
        </vertical>
        <horizontal/>
      </border>
    </dxf>
    <dxf>
      <font>
        <color theme="1"/>
      </font>
      <border diagonalUp="0" diagonalDown="0">
        <left/>
        <right/>
        <top style="thin">
          <color theme="0" tint="-0.24994659260841701"/>
        </top>
        <bottom style="thin">
          <color theme="0" tint="-0.24994659260841701"/>
        </bottom>
        <vertical/>
        <horizontal style="thin">
          <color theme="0" tint="-0.24994659260841701"/>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24994659260841701"/>
        </top>
        <bottom style="thin">
          <color theme="0" tint="-0.24994659260841701"/>
        </bottom>
        <vertical/>
        <horizontal/>
      </border>
    </dxf>
    <dxf>
      <font>
        <b/>
        <i val="0"/>
        <color auto="1"/>
      </font>
      <fill>
        <patternFill>
          <bgColor rgb="FFFFF2CC"/>
        </patternFill>
      </fill>
      <border diagonalUp="0" diagonalDown="0">
        <left/>
        <right/>
        <top/>
        <bottom/>
        <vertical style="thin">
          <color theme="0"/>
        </vertical>
        <horizontal/>
      </border>
    </dxf>
    <dxf>
      <font>
        <color theme="1"/>
      </font>
      <border>
        <horizontal style="thin">
          <color theme="0" tint="-0.14999847407452621"/>
        </horizontal>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14996795556505021"/>
        </top>
        <bottom style="thin">
          <color theme="1"/>
        </bottom>
        <vertical/>
        <horizontal/>
      </border>
    </dxf>
    <dxf>
      <font>
        <b/>
        <i val="0"/>
        <color auto="1"/>
      </font>
      <fill>
        <patternFill>
          <bgColor rgb="FFFFF2CC"/>
        </patternFill>
      </fill>
      <border diagonalUp="0" diagonalDown="0">
        <left/>
        <right/>
        <top/>
        <bottom/>
        <vertical style="thin">
          <color theme="0"/>
        </vertical>
        <horizontal/>
      </border>
    </dxf>
    <dxf>
      <font>
        <color theme="1"/>
      </font>
      <border>
        <horizontal style="thin">
          <color theme="0" tint="-0.14999847407452621"/>
        </horizontal>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fgColor theme="0" tint="-0.14999847407452621"/>
          <bgColor theme="0" tint="-0.14999847407452621"/>
        </patternFill>
      </fill>
      <border>
        <top style="thin">
          <color theme="0" tint="-0.34998626667073579"/>
        </top>
        <bottom style="thin">
          <color theme="0" tint="-0.34998626667073579"/>
        </bottom>
      </border>
    </dxf>
    <dxf>
      <font>
        <b/>
        <i val="0"/>
        <color auto="1"/>
      </font>
      <fill>
        <patternFill patternType="solid">
          <fgColor theme="0"/>
          <bgColor rgb="FFEAEAEA"/>
        </patternFill>
      </fill>
      <border>
        <left/>
        <right/>
        <top style="thin">
          <color theme="0" tint="-0.14996795556505021"/>
        </top>
        <bottom style="thin">
          <color theme="1"/>
        </bottom>
        <vertical/>
        <horizontal/>
      </border>
    </dxf>
    <dxf>
      <font>
        <b/>
        <i val="0"/>
        <color auto="1"/>
      </font>
      <fill>
        <patternFill>
          <bgColor rgb="FFFFCC99"/>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border>
        <horizontal style="thin">
          <color theme="0" tint="-0.14999847407452621"/>
        </horizontal>
      </border>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2" defaultTableStyle="TableStyleMedium2" defaultPivotStyle="GTFCC tool">
    <tableStyle name="Flattened Pivot Style" table="0" count="3" xr9:uid="{162DEA34-BB6A-4690-85D7-494055EBA32A}">
      <tableStyleElement type="headerRow" dxfId="219"/>
      <tableStyleElement type="totalRow" dxfId="218"/>
      <tableStyleElement type="secondRowStripe" dxfId="217"/>
    </tableStyle>
    <tableStyle name="GTFCC tool" table="0" count="11" xr9:uid="{E6968C78-9FAF-4431-AD98-140BB1C9C76F}">
      <tableStyleElement type="wholeTable" dxfId="216"/>
      <tableStyleElement type="headerRow" dxfId="215"/>
      <tableStyleElement type="totalRow" dxfId="214"/>
      <tableStyleElement type="firstRowStripe" dxfId="213"/>
      <tableStyleElement type="firstColumnStripe" dxfId="212"/>
      <tableStyleElement type="firstSubtotalRow" dxfId="211"/>
      <tableStyleElement type="secondSubtotalRow" dxfId="210"/>
      <tableStyleElement type="firstRowSubheading" dxfId="209"/>
      <tableStyleElement type="secondRowSubheading" dxfId="208"/>
      <tableStyleElement type="pageFieldLabels" dxfId="207"/>
      <tableStyleElement type="pageFieldValues" dxfId="206"/>
    </tableStyle>
    <tableStyle name="Missing values" table="0" count="12" xr9:uid="{22DCB4E3-CD90-49C6-841A-AD2864E1F3BE}">
      <tableStyleElement type="wholeTable" dxfId="205"/>
      <tableStyleElement type="headerRow" dxfId="204"/>
      <tableStyleElement type="totalRow" dxfId="203"/>
      <tableStyleElement type="firstRowStripe" dxfId="202"/>
      <tableStyleElement type="secondRowStripe" dxfId="201"/>
      <tableStyleElement type="firstColumnStripe" dxfId="200"/>
      <tableStyleElement type="firstSubtotalRow" dxfId="199"/>
      <tableStyleElement type="secondSubtotalRow" dxfId="198"/>
      <tableStyleElement type="firstRowSubheading" dxfId="197"/>
      <tableStyleElement type="secondRowSubheading" dxfId="196"/>
      <tableStyleElement type="pageFieldLabels" dxfId="195"/>
      <tableStyleElement type="pageFieldValues" dxfId="194"/>
    </tableStyle>
    <tableStyle name="Missing values 3" table="0" count="12" xr9:uid="{CE0E1287-A749-4FB3-9778-64C44D93469E}">
      <tableStyleElement type="wholeTable" dxfId="193"/>
      <tableStyleElement type="headerRow" dxfId="192"/>
      <tableStyleElement type="totalRow" dxfId="191"/>
      <tableStyleElement type="firstRowStripe" dxfId="190"/>
      <tableStyleElement type="secondRowStripe" dxfId="189"/>
      <tableStyleElement type="firstColumnStripe" dxfId="188"/>
      <tableStyleElement type="firstSubtotalRow" dxfId="187"/>
      <tableStyleElement type="secondSubtotalRow" dxfId="186"/>
      <tableStyleElement type="firstRowSubheading" dxfId="185"/>
      <tableStyleElement type="secondRowSubheading" dxfId="184"/>
      <tableStyleElement type="pageFieldLabels" dxfId="183"/>
      <tableStyleElement type="pageFieldValues" dxfId="182"/>
    </tableStyle>
    <tableStyle name="Missing values 4" table="0" count="12" xr9:uid="{AC399CBA-3908-4AEF-B694-F7F1332BEA0A}">
      <tableStyleElement type="wholeTable" dxfId="181"/>
      <tableStyleElement type="headerRow" dxfId="180"/>
      <tableStyleElement type="totalRow" dxfId="179"/>
      <tableStyleElement type="firstRowStripe" dxfId="178"/>
      <tableStyleElement type="secondRowStripe" dxfId="177"/>
      <tableStyleElement type="firstColumnStripe" dxfId="176"/>
      <tableStyleElement type="firstSubtotalRow" dxfId="175"/>
      <tableStyleElement type="secondSubtotalRow" dxfId="174"/>
      <tableStyleElement type="firstRowSubheading" dxfId="173"/>
      <tableStyleElement type="secondRowSubheading" dxfId="172"/>
      <tableStyleElement type="pageFieldLabels" dxfId="171"/>
      <tableStyleElement type="pageFieldValues" dxfId="170"/>
    </tableStyle>
    <tableStyle name="Missing values 5" table="0" count="12" xr9:uid="{2CB5D33C-D54C-4EB4-8CF2-07E814E7F21B}">
      <tableStyleElement type="wholeTable" dxfId="169"/>
      <tableStyleElement type="headerRow" dxfId="168"/>
      <tableStyleElement type="totalRow" dxfId="167"/>
      <tableStyleElement type="firstRowStripe" dxfId="166"/>
      <tableStyleElement type="secondRowStripe" dxfId="165"/>
      <tableStyleElement type="firstColumnStripe" dxfId="164"/>
      <tableStyleElement type="firstSubtotalRow" dxfId="163"/>
      <tableStyleElement type="secondSubtotalRow" dxfId="162"/>
      <tableStyleElement type="firstRowSubheading" dxfId="161"/>
      <tableStyleElement type="secondRowSubheading" dxfId="160"/>
      <tableStyleElement type="pageFieldLabels" dxfId="159"/>
      <tableStyleElement type="pageFieldValues" dxfId="158"/>
    </tableStyle>
    <tableStyle name="Missing values 6" table="0" count="12" xr9:uid="{30D44B18-E2F4-4200-896F-1F681F5D6081}">
      <tableStyleElement type="wholeTable" dxfId="157"/>
      <tableStyleElement type="headerRow" dxfId="156"/>
      <tableStyleElement type="totalRow" dxfId="155"/>
      <tableStyleElement type="firstRowStripe" dxfId="154"/>
      <tableStyleElement type="secondRowStripe" dxfId="153"/>
      <tableStyleElement type="firstColumnStripe" dxfId="152"/>
      <tableStyleElement type="firstSubtotalRow" dxfId="151"/>
      <tableStyleElement type="secondSubtotalRow" dxfId="150"/>
      <tableStyleElement type="firstRowSubheading" dxfId="149"/>
      <tableStyleElement type="secondRowSubheading" dxfId="148"/>
      <tableStyleElement type="pageFieldLabels" dxfId="147"/>
      <tableStyleElement type="pageFieldValues" dxfId="146"/>
    </tableStyle>
    <tableStyle name="Missing values 6 2" table="0" count="12" xr9:uid="{48B5DDE3-FD04-4BCA-BEEB-6A28087DF2CB}">
      <tableStyleElement type="wholeTable" dxfId="145"/>
      <tableStyleElement type="headerRow" dxfId="144"/>
      <tableStyleElement type="totalRow" dxfId="143"/>
      <tableStyleElement type="firstRowStripe" dxfId="142"/>
      <tableStyleElement type="secondRowStripe" dxfId="141"/>
      <tableStyleElement type="firstColumnStripe" dxfId="140"/>
      <tableStyleElement type="firstSubtotalRow" dxfId="139"/>
      <tableStyleElement type="secondSubtotalRow" dxfId="138"/>
      <tableStyleElement type="firstRowSubheading" dxfId="137"/>
      <tableStyleElement type="secondRowSubheading" dxfId="136"/>
      <tableStyleElement type="pageFieldLabels" dxfId="135"/>
      <tableStyleElement type="pageFieldValues" dxfId="134"/>
    </tableStyle>
    <tableStyle name="Missing values 6 3" table="0" count="12" xr9:uid="{454A3E91-E7A0-416F-807E-DFF2C87C55E6}">
      <tableStyleElement type="wholeTable" dxfId="133"/>
      <tableStyleElement type="headerRow" dxfId="132"/>
      <tableStyleElement type="totalRow" dxfId="131"/>
      <tableStyleElement type="firstRowStripe" dxfId="130"/>
      <tableStyleElement type="secondRowStripe" dxfId="129"/>
      <tableStyleElement type="firstColumnStripe" dxfId="128"/>
      <tableStyleElement type="firstSubtotalRow" dxfId="127"/>
      <tableStyleElement type="secondSubtotalRow" dxfId="126"/>
      <tableStyleElement type="firstRowSubheading" dxfId="125"/>
      <tableStyleElement type="secondRowSubheading" dxfId="124"/>
      <tableStyleElement type="pageFieldLabels" dxfId="123"/>
      <tableStyleElement type="pageFieldValues" dxfId="122"/>
    </tableStyle>
    <tableStyle name="PivotTable Style 1" table="0" count="1" xr9:uid="{60643D08-0C71-48AA-8D3C-321A1E055D58}">
      <tableStyleElement type="wholeTable" dxfId="121"/>
    </tableStyle>
    <tableStyle name="results" pivot="0" count="9" xr9:uid="{C0D97B90-D44B-4CE0-B696-E3195770E4AC}">
      <tableStyleElement type="wholeTable" dxfId="120"/>
      <tableStyleElement type="headerRow" dxfId="119"/>
      <tableStyleElement type="totalRow" dxfId="118"/>
      <tableStyleElement type="firstColumn" dxfId="117"/>
      <tableStyleElement type="lastColumn" dxfId="116"/>
      <tableStyleElement type="firstRowStripe" dxfId="115"/>
      <tableStyleElement type="secondRowStripe" dxfId="114"/>
      <tableStyleElement type="firstColumnStripe" dxfId="113"/>
      <tableStyleElement type="secondColumnStripe" dxfId="112"/>
    </tableStyle>
    <tableStyle name="results tables" pivot="0" count="9" xr9:uid="{0BAAEDD5-258A-4682-8AEF-83777968FE52}">
      <tableStyleElement type="wholeTable" dxfId="111"/>
      <tableStyleElement type="headerRow" dxfId="110"/>
      <tableStyleElement type="totalRow" dxfId="109"/>
      <tableStyleElement type="firstColumn" dxfId="108"/>
      <tableStyleElement type="lastColumn" dxfId="107"/>
      <tableStyleElement type="firstRowStripe" dxfId="106"/>
      <tableStyleElement type="secondRowStripe" dxfId="105"/>
      <tableStyleElement type="firstColumnStripe" dxfId="104"/>
      <tableStyleElement type="secondColumnStripe" dxfId="103"/>
    </tableStyle>
  </tableStyles>
  <colors>
    <mruColors>
      <color rgb="FF83D9D7"/>
      <color rgb="FF009999"/>
      <color rgb="FFFFF2CC"/>
      <color rgb="FFB8E9E8"/>
      <color rgb="FFA1ECE8"/>
      <color rgb="FF008080"/>
      <color rgb="FFFB8072"/>
      <color rgb="FFF7E9D4"/>
      <color rgb="FF9BCD9A"/>
      <color rgb="FFFBD9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eetMetadata" Target="metadata.xml"/><Relationship Id="rId22"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9261767</xdr:colOff>
      <xdr:row>1</xdr:row>
      <xdr:rowOff>34636</xdr:rowOff>
    </xdr:from>
    <xdr:to>
      <xdr:col>4</xdr:col>
      <xdr:colOff>2026228</xdr:colOff>
      <xdr:row>7</xdr:row>
      <xdr:rowOff>7567</xdr:rowOff>
    </xdr:to>
    <xdr:pic>
      <xdr:nvPicPr>
        <xdr:cNvPr id="2" name="officeArt object" descr="Une image contenant texte&#10;&#10;Description générée automatiquement">
          <a:extLst>
            <a:ext uri="{FF2B5EF4-FFF2-40B4-BE49-F238E27FC236}">
              <a16:creationId xmlns:a16="http://schemas.microsoft.com/office/drawing/2014/main" id="{EC146D19-AAC6-BEE1-A04C-5A1BAC553898}"/>
            </a:ext>
          </a:extLst>
        </xdr:cNvPr>
        <xdr:cNvPicPr/>
      </xdr:nvPicPr>
      <xdr:blipFill>
        <a:blip xmlns:r="http://schemas.openxmlformats.org/officeDocument/2006/relationships" r:embed="rId1"/>
        <a:stretch>
          <a:fillRect/>
        </a:stretch>
      </xdr:blipFill>
      <xdr:spPr>
        <a:xfrm>
          <a:off x="10820403" y="225136"/>
          <a:ext cx="6532416" cy="1115931"/>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152400</xdr:colOff>
      <xdr:row>4</xdr:row>
      <xdr:rowOff>170302</xdr:rowOff>
    </xdr:from>
    <xdr:to>
      <xdr:col>6</xdr:col>
      <xdr:colOff>1695450</xdr:colOff>
      <xdr:row>4</xdr:row>
      <xdr:rowOff>4103949</xdr:rowOff>
    </xdr:to>
    <xdr:pic>
      <xdr:nvPicPr>
        <xdr:cNvPr id="2" name="Picture 1">
          <a:extLst>
            <a:ext uri="{FF2B5EF4-FFF2-40B4-BE49-F238E27FC236}">
              <a16:creationId xmlns:a16="http://schemas.microsoft.com/office/drawing/2014/main" id="{E94DA605-CFFA-E77B-D248-667AC81C222C}"/>
            </a:ext>
          </a:extLst>
        </xdr:cNvPr>
        <xdr:cNvPicPr>
          <a:picLocks noChangeAspect="1"/>
        </xdr:cNvPicPr>
      </xdr:nvPicPr>
      <xdr:blipFill>
        <a:blip xmlns:r="http://schemas.openxmlformats.org/officeDocument/2006/relationships" r:embed="rId1"/>
        <a:stretch>
          <a:fillRect/>
        </a:stretch>
      </xdr:blipFill>
      <xdr:spPr>
        <a:xfrm>
          <a:off x="3943350" y="1065652"/>
          <a:ext cx="6886575" cy="393364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 Sudre" refreshedDate="45280.508771527777" createdVersion="8" refreshedVersion="8" minRefreshableVersion="3" recordCount="1" xr:uid="{CFA6311F-6728-493B-9FC6-5A61C75BF771}">
  <cacheSource type="worksheet">
    <worksheetSource name="working_table"/>
  </cacheSource>
  <cacheFields count="24">
    <cacheField name="unique_id" numFmtId="0">
      <sharedItems/>
    </cacheField>
    <cacheField name="admin_1" numFmtId="0">
      <sharedItems/>
    </cacheField>
    <cacheField name="admin_2" numFmtId="0">
      <sharedItems/>
    </cacheField>
    <cacheField name="tot_population" numFmtId="0">
      <sharedItems/>
    </cacheField>
    <cacheField name="FV_01_chol_epid" numFmtId="0">
      <sharedItems/>
    </cacheField>
    <cacheField name="FV_02_chol_import" numFmtId="0">
      <sharedItems/>
    </cacheField>
    <cacheField name="FV_03_prox_zone_cholera" numFmtId="0">
      <sharedItems/>
    </cacheField>
    <cacheField name="FV_04_voies_com_maj" numFmtId="0">
      <sharedItems/>
    </cacheField>
    <cacheField name="FV_05_rassemb_popul" numFmtId="0">
      <sharedItems/>
    </cacheField>
    <cacheField name="FV_06_zone_surpeupl" numFmtId="0">
      <sharedItems/>
    </cacheField>
    <cacheField name="FV_07_pop_spec_risk" numFmtId="0">
      <sharedItems/>
    </cacheField>
    <cacheField name="FV_08_pop_access_diff" numFmtId="0">
      <sharedItems/>
    </cacheField>
    <cacheField name="FV_09_vacc_sup_3_ans" numFmtId="0">
      <sharedItems/>
    </cacheField>
    <cacheField name="FV_10_climate_ev" numFmtId="0">
      <sharedItems/>
    </cacheField>
    <cacheField name="FV_11_urgence_hum_comp" numFmtId="0">
      <sharedItems/>
    </cacheField>
    <cacheField name="FV_12_EHA_ind_eau" numFmtId="0">
      <sharedItems/>
    </cacheField>
    <cacheField name="FV_13_EHA_ind_assain" numFmtId="0">
      <sharedItems/>
    </cacheField>
    <cacheField name="FV_14_EHA_ind_hygiene" numFmtId="0">
      <sharedItems/>
    </cacheField>
    <cacheField name="FV_15_facteur_add_1" numFmtId="0">
      <sharedItems/>
    </cacheField>
    <cacheField name="FV_16_facteur_add_2" numFmtId="0">
      <sharedItems/>
    </cacheField>
    <cacheField name="FV_17_facteur_add_3" numFmtId="0">
      <sharedItems/>
    </cacheField>
    <cacheField name="FV_18_facteur_add_4" numFmtId="0">
      <sharedItems/>
    </cacheField>
    <cacheField name="Nombre_val_manquante" numFmtId="0">
      <sharedItems containsSemiMixedTypes="0" containsString="0" containsNumber="1" containsInteger="1" minValue="0" maxValue="0"/>
    </cacheField>
    <cacheField name="Indice_de_vulnerabilité" numFmtId="1">
      <sharedItems containsMixedTypes="1" containsNumber="1" containsInteger="1" minValue="0" maxValue="11" count="13">
        <e v="#REF!"/>
        <n v="0" u="1"/>
        <n v="3" u="1"/>
        <n v="1" u="1"/>
        <n v="5" u="1"/>
        <n v="11" u="1"/>
        <n v="6" u="1"/>
        <n v="7" u="1"/>
        <n v="2" u="1"/>
        <n v="4" u="1"/>
        <n v="8" u="1"/>
        <n v="10" u="1"/>
        <n v="9"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e v="#REF!"/>
    <e v="#REF!"/>
    <e v="#REF!"/>
    <e v="#REF!"/>
    <e v="#REF!"/>
    <e v="#REF!"/>
    <e v="#REF!"/>
    <e v="#REF!"/>
    <e v="#REF!"/>
    <e v="#REF!"/>
    <e v="#REF!"/>
    <e v="#REF!"/>
    <e v="#REF!"/>
    <e v="#REF!"/>
    <e v="#REF!"/>
    <e v="#REF!"/>
    <e v="#REF!"/>
    <e v="#REF!"/>
    <e v="#REF!"/>
    <e v="#REF!"/>
    <e v="#REF!"/>
    <e v="#REF!"/>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26A530-1392-4977-9EEE-882D6607395C}" name="Valeurs de l'indice de priorité" cacheId="0" applyNumberFormats="0" applyBorderFormats="0" applyFontFormats="0" applyPatternFormats="0" applyAlignmentFormats="0" applyWidthHeightFormats="1" dataCaption="Valeurs" errorCaption="NA" showError="1" updatedVersion="8" minRefreshableVersion="3" showDrill="0" itemPrintTitles="1" createdVersion="8" indent="0" outline="1" outlineData="1" multipleFieldFilters="0" rowHeaderCaption="Valeurs de l'indice de vulnérabilité">
  <location ref="B7:I9" firstHeaderRow="0" firstDataRow="1" firstDataCol="1"/>
  <pivotFields count="24">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14">
        <item x="0"/>
        <item m="1" x="5"/>
        <item m="1" x="11"/>
        <item m="1" x="12"/>
        <item m="1" x="10"/>
        <item m="1" x="7"/>
        <item m="1" x="6"/>
        <item m="1" x="4"/>
        <item m="1" x="9"/>
        <item m="1" x="2"/>
        <item m="1" x="8"/>
        <item m="1" x="3"/>
        <item m="1" x="1"/>
        <item t="default"/>
      </items>
    </pivotField>
  </pivotFields>
  <rowFields count="1">
    <field x="23"/>
  </rowFields>
  <rowItems count="2">
    <i>
      <x/>
    </i>
    <i t="grand">
      <x/>
    </i>
  </rowItems>
  <colFields count="1">
    <field x="-2"/>
  </colFields>
  <colItems count="7">
    <i>
      <x/>
    </i>
    <i i="1">
      <x v="1"/>
    </i>
    <i i="2">
      <x v="2"/>
    </i>
    <i i="3">
      <x v="3"/>
    </i>
    <i i="4">
      <x v="4"/>
    </i>
    <i i="5">
      <x v="5"/>
    </i>
    <i i="6">
      <x v="6"/>
    </i>
  </colItems>
  <dataFields count="7">
    <dataField name="Nombre d'unités géographiques" fld="0" subtotal="count" baseField="23" baseItem="0"/>
    <dataField name="Nombre cumulatif d'unités géographiques" fld="0" subtotal="count" showDataAs="runTotal" baseField="23" baseItem="0"/>
    <dataField name="% relatif du num. d'unités géographiques" fld="0" subtotal="count" showDataAs="percentOfCol" baseField="23" baseItem="0" numFmtId="10"/>
    <dataField name="% cumulatif du num. d'unités géographiques" fld="0" subtotal="count" baseField="23" baseItem="0" numFmtId="10">
      <extLst>
        <ext xmlns:x14="http://schemas.microsoft.com/office/spreadsheetml/2009/9/main" uri="{E15A36E0-9728-4e99-A89B-3F7291B0FE68}">
          <x14:dataField pivotShowAs="percentOfRunningTotal"/>
        </ext>
      </extLst>
    </dataField>
    <dataField name="Somme de la population" fld="3" baseField="23" baseItem="0"/>
    <dataField name="% relatif de la population" fld="3" showDataAs="percentOfCol" baseField="23" baseItem="0" numFmtId="10"/>
    <dataField name="% cumulatif de la population" fld="3" baseField="23" baseItem="0" numFmtId="10">
      <extLst>
        <ext xmlns:x14="http://schemas.microsoft.com/office/spreadsheetml/2009/9/main" uri="{E15A36E0-9728-4e99-A89B-3F7291B0FE68}">
          <x14:dataField pivotShowAs="percentOfRunningTotal"/>
        </ext>
      </extLst>
    </dataField>
  </dataFields>
  <formats count="18">
    <format dxfId="73">
      <pivotArea field="23" type="button" dataOnly="0" labelOnly="1" outline="0" axis="axisRow" fieldPosition="0"/>
    </format>
    <format dxfId="72">
      <pivotArea dataOnly="0" labelOnly="1" outline="0" fieldPosition="0">
        <references count="1">
          <reference field="4294967294" count="7">
            <x v="0"/>
            <x v="1"/>
            <x v="2"/>
            <x v="3"/>
            <x v="4"/>
            <x v="5"/>
            <x v="6"/>
          </reference>
        </references>
      </pivotArea>
    </format>
    <format dxfId="71">
      <pivotArea field="23" type="button" dataOnly="0" labelOnly="1" outline="0" axis="axisRow" fieldPosition="0"/>
    </format>
    <format dxfId="70">
      <pivotArea dataOnly="0" labelOnly="1" outline="0" fieldPosition="0">
        <references count="1">
          <reference field="4294967294" count="7">
            <x v="0"/>
            <x v="1"/>
            <x v="2"/>
            <x v="3"/>
            <x v="4"/>
            <x v="5"/>
            <x v="6"/>
          </reference>
        </references>
      </pivotArea>
    </format>
    <format dxfId="69">
      <pivotArea field="23" type="button" dataOnly="0" labelOnly="1" outline="0" axis="axisRow" fieldPosition="0"/>
    </format>
    <format dxfId="68">
      <pivotArea dataOnly="0" labelOnly="1" outline="0" fieldPosition="0">
        <references count="1">
          <reference field="4294967294" count="7">
            <x v="0"/>
            <x v="1"/>
            <x v="2"/>
            <x v="3"/>
            <x v="4"/>
            <x v="5"/>
            <x v="6"/>
          </reference>
        </references>
      </pivotArea>
    </format>
    <format dxfId="67">
      <pivotArea field="23" type="button" dataOnly="0" labelOnly="1" outline="0" axis="axisRow" fieldPosition="0"/>
    </format>
    <format dxfId="66">
      <pivotArea dataOnly="0" labelOnly="1" outline="0" fieldPosition="0">
        <references count="1">
          <reference field="4294967294" count="7">
            <x v="0"/>
            <x v="1"/>
            <x v="2"/>
            <x v="3"/>
            <x v="4"/>
            <x v="5"/>
            <x v="6"/>
          </reference>
        </references>
      </pivotArea>
    </format>
    <format dxfId="65">
      <pivotArea grandRow="1" outline="0" collapsedLevelsAreSubtotals="1" fieldPosition="0"/>
    </format>
    <format dxfId="64">
      <pivotArea dataOnly="0" labelOnly="1" grandRow="1" outline="0" fieldPosition="0"/>
    </format>
    <format dxfId="63">
      <pivotArea collapsedLevelsAreSubtotals="1" fieldPosition="0">
        <references count="2">
          <reference field="4294967294" count="1" selected="0">
            <x v="3"/>
          </reference>
          <reference field="23" count="0"/>
        </references>
      </pivotArea>
    </format>
    <format dxfId="62">
      <pivotArea collapsedLevelsAreSubtotals="1" fieldPosition="0">
        <references count="2">
          <reference field="4294967294" count="2" selected="0">
            <x v="5"/>
            <x v="6"/>
          </reference>
          <reference field="23" count="0"/>
        </references>
      </pivotArea>
    </format>
    <format dxfId="61">
      <pivotArea collapsedLevelsAreSubtotals="1" fieldPosition="0">
        <references count="2">
          <reference field="4294967294" count="1" selected="0">
            <x v="2"/>
          </reference>
          <reference field="23" count="0"/>
        </references>
      </pivotArea>
    </format>
    <format dxfId="60">
      <pivotArea collapsedLevelsAreSubtotals="1" fieldPosition="0">
        <references count="2">
          <reference field="4294967294" count="1" selected="0">
            <x v="2"/>
          </reference>
          <reference field="23" count="0"/>
        </references>
      </pivotArea>
    </format>
    <format dxfId="59">
      <pivotArea collapsedLevelsAreSubtotals="1" fieldPosition="0">
        <references count="2">
          <reference field="4294967294" count="1" selected="0">
            <x v="5"/>
          </reference>
          <reference field="23" count="0"/>
        </references>
      </pivotArea>
    </format>
    <format dxfId="58">
      <pivotArea field="23" type="button" dataOnly="0" labelOnly="1" outline="0" axis="axisRow" fieldPosition="0"/>
    </format>
    <format dxfId="57">
      <pivotArea dataOnly="0" labelOnly="1" fieldPosition="0">
        <references count="1">
          <reference field="23" count="0"/>
        </references>
      </pivotArea>
    </format>
    <format dxfId="56">
      <pivotArea dataOnly="0" labelOnly="1" grandRow="1" outline="0" fieldPosition="0"/>
    </format>
  </formats>
  <conditionalFormats count="2">
    <conditionalFormat scope="field" priority="2">
      <pivotAreas count="1">
        <pivotArea outline="0" collapsedLevelsAreSubtotals="1" fieldPosition="0">
          <references count="2">
            <reference field="4294967294" count="1" selected="0">
              <x v="2"/>
            </reference>
            <reference field="23" count="0" selected="0"/>
          </references>
        </pivotArea>
      </pivotAreas>
    </conditionalFormat>
    <conditionalFormat scope="field" priority="1">
      <pivotAreas count="1">
        <pivotArea outline="0" collapsedLevelsAreSubtotals="1" fieldPosition="0">
          <references count="2">
            <reference field="4294967294" count="1" selected="0">
              <x v="5"/>
            </reference>
            <reference field="23" count="0" selected="0"/>
          </references>
        </pivotArea>
      </pivotAreas>
    </conditionalFormat>
  </conditional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growShrinkType="overwriteClear" connectionId="2" xr16:uid="{5B2490F1-FC87-4A23-93D0-8317F610DA4E}" autoFormatId="16" applyNumberFormats="0" applyBorderFormats="0" applyFontFormats="0" applyPatternFormats="0" applyAlignmentFormats="0" applyWidthHeightFormats="0">
  <queryTableRefresh nextId="25">
    <queryTableFields count="24">
      <queryTableField id="1" name="unique_id" tableColumnId="1"/>
      <queryTableField id="2" name="admin_1" tableColumnId="2"/>
      <queryTableField id="3" name="admin_2" tableColumnId="3"/>
      <queryTableField id="4" name="tot_population" tableColumnId="4"/>
      <queryTableField id="5" name="FV_01_chol_epid" tableColumnId="5"/>
      <queryTableField id="6" name="FV_02_chol_import" tableColumnId="6"/>
      <queryTableField id="7" name="FV_03_prox_zone_cholera" tableColumnId="7"/>
      <queryTableField id="8" name="FV_04_voies_com_maj" tableColumnId="8"/>
      <queryTableField id="9" name="FV_05_rassemb_popul" tableColumnId="9"/>
      <queryTableField id="10" name="FV_06_zone_surpeupl" tableColumnId="10"/>
      <queryTableField id="11" name="FV_07_pop_spec_risk" tableColumnId="11"/>
      <queryTableField id="12" name="FV_08_pop_access_diff" tableColumnId="12"/>
      <queryTableField id="13" name="FV_09_vacc_sup_3_ans" tableColumnId="13"/>
      <queryTableField id="14" name="FV_10_climate_ev" tableColumnId="14"/>
      <queryTableField id="15" name="FV_11_urgence_hum_comp" tableColumnId="15"/>
      <queryTableField id="16" name="FV_12_EHA_ind_eau" tableColumnId="16"/>
      <queryTableField id="17" name="FV_13_EHA_ind_assain" tableColumnId="17"/>
      <queryTableField id="18" name="FV_14_EHA_ind_hygiene" tableColumnId="18"/>
      <queryTableField id="19" name="FV_15_facteur_add_1" tableColumnId="19"/>
      <queryTableField id="20" name="FV_16_facteur_add_2" tableColumnId="20"/>
      <queryTableField id="21" name="FV_17_facteur_add_3" tableColumnId="21"/>
      <queryTableField id="22" name="FV_18_facteur_add_4" tableColumnId="22"/>
      <queryTableField id="23" name="Nombre_val_manquante" tableColumnId="23"/>
      <queryTableField id="24" name="Indice_de_vulnerabilité" tableColumnId="24"/>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407A30-369C-4D9B-81B8-44C942EBDF1D}" name="data_inputs" displayName="data_inputs" ref="A1:A2" totalsRowShown="0" headerRowDxfId="102" headerRowCellStyle="Normal 2" dataCellStyle="Normal 2">
  <autoFilter ref="A1:A2" xr:uid="{FC407A30-369C-4D9B-81B8-44C942EBDF1D}">
    <filterColumn colId="0" hiddenButton="1"/>
  </autoFilter>
  <tableColumns count="1">
    <tableColumn id="1" xr3:uid="{0F335912-826D-4AEA-BD15-6B059AD77A92}" name="Coller les données ici (en tant que valeurs uniquement)  " dataCellStyle="Normal 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429E05-EEE1-4FFF-8984-06C706699196}" name="working_table" displayName="working_table" ref="A1:X2" totalsRowShown="0" headerRowDxfId="101" dataDxfId="99" headerRowBorderDxfId="100" tableBorderDxfId="98" dataCellStyle="Normal">
  <autoFilter ref="A1:X2" xr:uid="{15429E05-EEE1-4FFF-8984-06C7066991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8C6EB96E-EFE7-4775-8FA1-985F07C8F881}" name="unique_id" dataDxfId="97" dataCellStyle="Normal">
      <calculatedColumnFormula array="1">INDIRECT(_0_uniq_id)</calculatedColumnFormula>
    </tableColumn>
    <tableColumn id="2" xr3:uid="{6D21BE09-B26B-4300-BF73-CE94A4DF557D}" name="admin_1" dataDxfId="96" dataCellStyle="Normal">
      <calculatedColumnFormula array="1">INDIRECT(_1_adi_1)</calculatedColumnFormula>
    </tableColumn>
    <tableColumn id="3" xr3:uid="{E4FE6733-4457-4E9B-9DA5-F86B88DCB1E9}" name="admin_2" dataDxfId="95" dataCellStyle="Normal">
      <calculatedColumnFormula array="1">INDIRECT(_2_adi_2)</calculatedColumnFormula>
    </tableColumn>
    <tableColumn id="4" xr3:uid="{693645EA-5DB4-4AE7-8E33-5DCF761B45CA}" name="tot_population" dataDxfId="94" dataCellStyle="Normal">
      <calculatedColumnFormula array="1">INDIRECT(_3_pop)</calculatedColumnFormula>
    </tableColumn>
    <tableColumn id="23" xr3:uid="{1B2C25BC-6430-4AC3-8E60-2FA1C77D184F}" name="FV_01_chol_epid" dataDxfId="93" dataCellStyle="Normal">
      <calculatedColumnFormula array="1">INDIRECT(_q01)</calculatedColumnFormula>
    </tableColumn>
    <tableColumn id="24" xr3:uid="{5179492D-F10E-468F-99FF-E2C844C2D9A2}" name="FV_02_chol_import" dataDxfId="92" dataCellStyle="Normal">
      <calculatedColumnFormula array="1">INDIRECT(_q02)</calculatedColumnFormula>
    </tableColumn>
    <tableColumn id="25" xr3:uid="{906FFEBF-113B-42FB-BF03-C66A66843E58}" name="FV_03_prox_zone_cholera" dataDxfId="91" dataCellStyle="Normal">
      <calculatedColumnFormula array="1">INDIRECT(_q03)</calculatedColumnFormula>
    </tableColumn>
    <tableColumn id="26" xr3:uid="{4A1207F3-E0BA-4AD8-A256-615940569554}" name="FV_04_voies_com_maj" dataDxfId="90" dataCellStyle="Normal">
      <calculatedColumnFormula array="1">INDIRECT(_q04)</calculatedColumnFormula>
    </tableColumn>
    <tableColumn id="27" xr3:uid="{065BBD48-2991-4002-BA24-6FBE8367850E}" name="FV_05_rassemb_popul" dataDxfId="89" dataCellStyle="Normal">
      <calculatedColumnFormula array="1">INDIRECT(_q05)</calculatedColumnFormula>
    </tableColumn>
    <tableColumn id="28" xr3:uid="{8A760CDF-7008-4597-8438-11CF150C537C}" name="FV_06_zone_surpeupl" dataDxfId="88" dataCellStyle="Normal">
      <calculatedColumnFormula array="1">INDIRECT(_q06)</calculatedColumnFormula>
    </tableColumn>
    <tableColumn id="29" xr3:uid="{B16A6905-9565-4BD9-A259-19F25F9F870B}" name="FV_07_pop_spec_risk" dataDxfId="87" dataCellStyle="Normal">
      <calculatedColumnFormula array="1">INDIRECT(_q07)</calculatedColumnFormula>
    </tableColumn>
    <tableColumn id="30" xr3:uid="{A7679313-6C0B-41E6-AB96-9D7E1FCDF9E7}" name="FV_08_pop_access_diff" dataDxfId="86" dataCellStyle="Normal">
      <calculatedColumnFormula array="1">INDIRECT(_q08)</calculatedColumnFormula>
    </tableColumn>
    <tableColumn id="12" xr3:uid="{ACA174BC-64B3-4811-A5F5-43A6736FF03B}" name="FV_09_vacc_sup_3_ans" dataDxfId="85">
      <calculatedColumnFormula array="1">INDIRECT(_q09)</calculatedColumnFormula>
    </tableColumn>
    <tableColumn id="11" xr3:uid="{480C5FBB-1005-4C65-BB14-534A308C234D}" name="FV_10_climate_ev" dataDxfId="84">
      <calculatedColumnFormula array="1">INDIRECT(_q10)</calculatedColumnFormula>
    </tableColumn>
    <tableColumn id="10" xr3:uid="{04381652-2922-4BBC-8CAD-16A3BB8AA654}" name="FV_11_urgence_hum_comp" dataDxfId="83">
      <calculatedColumnFormula array="1">INDIRECT(_q11)</calculatedColumnFormula>
    </tableColumn>
    <tableColumn id="9" xr3:uid="{D7D32647-B74A-461F-924E-E8A44D0D76E3}" name="FV_12_EHA_ind_eau" dataDxfId="82">
      <calculatedColumnFormula array="1">INDIRECT(_q12)</calculatedColumnFormula>
    </tableColumn>
    <tableColumn id="14" xr3:uid="{D5A8538B-B1D1-433D-BD19-A063A806344B}" name="FV_13_EHA_ind_assain" dataDxfId="81">
      <calculatedColumnFormula array="1">INDIRECT(_q13)</calculatedColumnFormula>
    </tableColumn>
    <tableColumn id="7" xr3:uid="{36B77A99-A716-4CAE-AFD6-A42861C2AAD4}" name="FV_14_EHA_ind_hygiene" dataDxfId="80">
      <calculatedColumnFormula array="1">INDIRECT(_q14)</calculatedColumnFormula>
    </tableColumn>
    <tableColumn id="33" xr3:uid="{75549BC9-AD5A-4BC0-8A4E-98DC7865E0A8}" name="FV_15_facteur_add_1" dataDxfId="79">
      <calculatedColumnFormula array="1">INDIRECT(_q15)</calculatedColumnFormula>
    </tableColumn>
    <tableColumn id="32" xr3:uid="{390011CE-03A5-4F9A-A11B-F2FD8BC011C5}" name="FV_16_facteur_add_2" dataDxfId="78">
      <calculatedColumnFormula array="1">INDIRECT(_q16)</calculatedColumnFormula>
    </tableColumn>
    <tableColumn id="31" xr3:uid="{254E2C51-033C-4570-88A6-DAC4C3A53FD3}" name="FV_17_facteur_add_3" dataDxfId="77">
      <calculatedColumnFormula array="1">INDIRECT(_q17)</calculatedColumnFormula>
    </tableColumn>
    <tableColumn id="21" xr3:uid="{E3981F6C-5AE2-4F65-A1AA-1CC85A671A46}" name="FV_18_facteur_add_4" dataDxfId="76">
      <calculatedColumnFormula array="1">INDIRECT(_q18)</calculatedColumnFormula>
    </tableColumn>
    <tableColumn id="5" xr3:uid="{5971B8B9-FAA4-405E-A4F5-B6779E7C9DDD}" name="Nombre_val_manquante" dataDxfId="75">
      <calculatedColumnFormula>COUNTIF(working_table[[#This Row],[FV_01_chol_epid]:[FV_18_facteur_add_4]],"Valeur_manquante")</calculatedColumnFormula>
    </tableColumn>
    <tableColumn id="22" xr3:uid="{FCE7BE05-05AF-4D41-ADCC-0333D07D197E}" name="Indice_de_vulnerabilité" dataDxfId="74" dataCellStyle="Normal">
      <calculatedColumnFormula>IF(working_table[[#This Row],[FV_01_chol_epid]]= "Oui", "PAMI par defaut",
IF('─&gt; Selection vulner. facteurs'!$I$8="Inclus dans l'index de vulnérabilité", IF(working_table[[#This Row],[FV_02_chol_import]]="Oui", 1*'─&gt; Selection vulner. facteurs'!$G$8, 0),0) +
IF('─&gt; Selection vulner. facteurs'!$I$9="Inclus dans l'index de vulnérabilité", IF(working_table[[#This Row],[FV_03_prox_zone_cholera]]="Oui", 1*'─&gt; Selection vulner. facteurs'!$G$9, 0),0) +
IF('─&gt; Selection vulner. facteurs'!$I$10="Inclus dans l'index de vulnérabilité", IF(working_table[[#This Row],[FV_04_voies_com_maj]]="Oui", 1*'─&gt; Selection vulner. facteurs'!$G$10, 0),0) +
IF('─&gt; Selection vulner. facteurs'!$I$11="Inclus dans l'index de vulnérabilité", IF(working_table[[#This Row],[FV_05_rassemb_popul]]="Oui", 1*'─&gt; Selection vulner. facteurs'!$G$11, 0),0) +
IF('─&gt; Selection vulner. facteurs'!$I$12="Inclus dans l'index de vulnérabilité", IF(working_table[[#This Row],[FV_06_zone_surpeupl]]="Oui", 1*'─&gt; Selection vulner. facteurs'!$G$12, 0),0) +
IF('─&gt; Selection vulner. facteurs'!$I$13="Inclus dans l'index de vulnérabilité", IF(working_table[[#This Row],[FV_07_pop_spec_risk]]="Oui", 1*'─&gt; Selection vulner. facteurs'!$G$13, 0),0) +
IF('─&gt; Selection vulner. facteurs'!$I$14="Inclus dans l'index de vulnérabilité", IF(working_table[[#This Row],[FV_08_pop_access_diff]]="Oui", 1*'─&gt; Selection vulner. facteurs'!$G$14, 0),0) +
IF('─&gt; Selection vulner. facteurs'!$I$15="Inclus dans l'index de vulnérabilité", IF(working_table[[#This Row],[FV_09_vacc_sup_3_ans]]="Oui", 1*'─&gt; Selection vulner. facteurs'!$G$15, 0),0) +
IF('─&gt; Selection vulner. facteurs'!$I$16="Inclus dans l'index de vulnérabilité", IF(working_table[[#This Row],[FV_10_climate_ev]]="Oui", 1*'─&gt; Selection vulner. facteurs'!$G$16, 0),0) +
IF('─&gt; Selection vulner. facteurs'!$I$17="Inclus dans l'index de vulnérabilité", IF(working_table[[#This Row],[FV_11_urgence_hum_comp]]="Oui", 1*'─&gt; Selection vulner. facteurs'!$G$17, 0),0) +
IF('─&gt; Selection vulner. facteurs'!$I$18="Inclus dans l'index de vulnérabilité", IF(working_table[[#This Row],[FV_12_EHA_ind_eau]]="Oui", 1*'─&gt; Selection vulner. facteurs'!$G$18, 0),0) +
IF('─&gt; Selection vulner. facteurs'!$I$19="Inclus dans l'index de vulnérabilité", IF(working_table[[#This Row],[FV_13_EHA_ind_assain]]="Oui", 1*'─&gt; Selection vulner. facteurs'!$G$19, 0),0) +
IF('─&gt; Selection vulner. facteurs'!$I$20="Inclus dans l'index de vulnérabilité", IF(working_table[[#This Row],[FV_14_EHA_ind_hygiene]]="Oui", 1*'─&gt; Selection vulner. facteurs'!$G$20, 0),0) +
IF('─&gt; Selection vulner. facteurs'!$I$21="Inclus dans l'index de vulnérabilité", IF(working_table[[#This Row],[FV_15_facteur_add_1]]="Oui", 1*'─&gt; Selection vulner. facteurs'!$G$21, 0),0) +
IF('─&gt; Selection vulner. facteurs'!$I$22="Inclus dans l'index de vulnérabilité", IF(working_table[[#This Row],[FV_16_facteur_add_2]]="Oui", 1*'─&gt; Selection vulner. facteurs'!$G$22, 0),0) +
IF('─&gt; Selection vulner. facteurs'!$I$23="Inclus dans l'index de vulnérabilité", IF(working_table[[#This Row],[FV_17_facteur_add_3]]="Oui", 1*'─&gt; Selection vulner. facteurs'!$G$23, 0),0) +
IF('─&gt; Selection vulner. facteurs'!$I$24="Inclus dans l'index de vulnérabilité", IF(working_table[[#This Row],[FV_18_facteur_add_4]]="Oui", 1*'─&gt; Selection vulner. facteurs'!$G$24, 0),0))</calculatedColumnFormula>
    </tableColumn>
  </tableColumns>
  <tableStyleInfo name="result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E89512-88EC-4788-AA43-77754DB56819}" name="working_table__2" displayName="working_table__2" ref="A1:X2" tableType="queryTable" totalsRowShown="0" headerRowDxfId="55">
  <autoFilter ref="A1:X2" xr:uid="{08E89512-88EC-4788-AA43-77754DB56819}"/>
  <sortState xmlns:xlrd2="http://schemas.microsoft.com/office/spreadsheetml/2017/richdata2" ref="A2:X101">
    <sortCondition descending="1" ref="X1:X101"/>
  </sortState>
  <tableColumns count="24">
    <tableColumn id="1" xr3:uid="{07CAA52E-567B-4FC6-8BE5-8E721C10BD6F}" uniqueName="1" name="unique_id" queryTableFieldId="1" dataDxfId="54"/>
    <tableColumn id="2" xr3:uid="{1CE373E3-89C4-4484-8484-9972F3806FDF}" uniqueName="2" name="admin_1" queryTableFieldId="2" dataDxfId="53"/>
    <tableColumn id="3" xr3:uid="{6D1087C0-FC2F-46C6-B782-7AA9C083DE21}" uniqueName="3" name="admin_2" queryTableFieldId="3" dataDxfId="52"/>
    <tableColumn id="4" xr3:uid="{F0281ED7-DFD1-4AA9-8FC6-0C5BF9E6C9C5}" uniqueName="4" name="tot_population" queryTableFieldId="4" dataDxfId="51"/>
    <tableColumn id="5" xr3:uid="{0F533814-9C65-49D6-863F-28C777FB0907}" uniqueName="5" name="FV_01_chol_epid" queryTableFieldId="5" dataDxfId="50"/>
    <tableColumn id="6" xr3:uid="{885883EE-E5FE-423E-804B-0C291B133E9A}" uniqueName="6" name="FV_02_chol_import" queryTableFieldId="6" dataDxfId="49"/>
    <tableColumn id="7" xr3:uid="{24FCF727-064A-411E-AF00-6375221348BD}" uniqueName="7" name="FV_03_prox_zone_cholera" queryTableFieldId="7" dataDxfId="48"/>
    <tableColumn id="8" xr3:uid="{F384544E-8C8B-4C1B-A50D-0D7B0B4A5566}" uniqueName="8" name="FV_04_voies_com_maj" queryTableFieldId="8" dataDxfId="47"/>
    <tableColumn id="9" xr3:uid="{11925BC2-376B-4382-8EB0-4B717C4CF687}" uniqueName="9" name="FV_05_rassemb_popul" queryTableFieldId="9" dataDxfId="46"/>
    <tableColumn id="10" xr3:uid="{846E937D-AD3D-4BFC-845F-E9460F4250F4}" uniqueName="10" name="FV_06_zone_surpeupl" queryTableFieldId="10" dataDxfId="45"/>
    <tableColumn id="11" xr3:uid="{11A266B1-E2B8-4748-9D21-09AF2599AE1F}" uniqueName="11" name="FV_07_pop_spec_risk" queryTableFieldId="11" dataDxfId="44"/>
    <tableColumn id="12" xr3:uid="{5839EE43-3701-423D-8FE6-E654D7A3C453}" uniqueName="12" name="FV_08_pop_access_diff" queryTableFieldId="12" dataDxfId="43"/>
    <tableColumn id="13" xr3:uid="{85EB551A-63E8-4C09-82A7-954C87FF84D3}" uniqueName="13" name="FV_09_vacc_sup_3_ans" queryTableFieldId="13" dataDxfId="42"/>
    <tableColumn id="14" xr3:uid="{AC27E3A2-85D8-4E98-A318-1A0DA86C8224}" uniqueName="14" name="FV_10_climate_ev" queryTableFieldId="14" dataDxfId="41"/>
    <tableColumn id="15" xr3:uid="{BDDF9582-004C-4CD8-BAFE-9EF6D8325E3C}" uniqueName="15" name="FV_11_urgence_hum_comp" queryTableFieldId="15" dataDxfId="40"/>
    <tableColumn id="16" xr3:uid="{5A182F51-2E0C-4BA2-A020-252405391451}" uniqueName="16" name="FV_12_EHA_ind_eau" queryTableFieldId="16" dataDxfId="39"/>
    <tableColumn id="17" xr3:uid="{5B99B3F9-CD2F-441A-BF9F-A092711A7985}" uniqueName="17" name="FV_13_EHA_ind_assain" queryTableFieldId="17" dataDxfId="38"/>
    <tableColumn id="18" xr3:uid="{4E8D986C-1DB3-4E81-8E0C-2102BB335F3E}" uniqueName="18" name="FV_14_EHA_ind_hygiene" queryTableFieldId="18" dataDxfId="37"/>
    <tableColumn id="19" xr3:uid="{AFA33103-8848-45A8-881E-AF7D14AE260F}" uniqueName="19" name="FV_15_facteur_add_1" queryTableFieldId="19" dataDxfId="36"/>
    <tableColumn id="20" xr3:uid="{F98138CD-CEA9-41F4-9873-59A6C510234B}" uniqueName="20" name="FV_16_facteur_add_2" queryTableFieldId="20" dataDxfId="35"/>
    <tableColumn id="21" xr3:uid="{361E0567-15F5-4022-93ED-E7490FD13F0D}" uniqueName="21" name="FV_17_facteur_add_3" queryTableFieldId="21" dataDxfId="34"/>
    <tableColumn id="22" xr3:uid="{387DC567-E40A-417E-B620-F51EB62A2732}" uniqueName="22" name="FV_18_facteur_add_4" queryTableFieldId="22" dataDxfId="33"/>
    <tableColumn id="23" xr3:uid="{9106CCA9-D336-4076-9569-D747A0CE6603}" uniqueName="23" name="Nombre_val_manquante" queryTableFieldId="23" dataDxfId="32"/>
    <tableColumn id="24" xr3:uid="{ED57E949-2A1A-4DEB-88B3-5E695DA75032}" uniqueName="24" name="Indice_de_vulnerabilité" queryTableFieldId="24" dataDxfId="31"/>
  </tableColumns>
  <tableStyleInfo name="results"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tfcc.org/wp-content/uploads/2023/12/2023-gtfcc-pami-cholera-elimination-user-guide-fr.pdf" TargetMode="External"/><Relationship Id="rId7" Type="http://schemas.openxmlformats.org/officeDocument/2006/relationships/drawing" Target="../drawings/drawing1.xml"/><Relationship Id="rId2" Type="http://schemas.openxmlformats.org/officeDocument/2006/relationships/hyperlink" Target="https://www.gtfcc.org/wp-content/uploads/2023/12/2023-gtfcc-pami-cholera-elimination-guidance-fr.pdf" TargetMode="External"/><Relationship Id="rId1" Type="http://schemas.openxmlformats.org/officeDocument/2006/relationships/hyperlink" Target="mailto:gtfccsecretariat@who.int" TargetMode="External"/><Relationship Id="rId6" Type="http://schemas.openxmlformats.org/officeDocument/2006/relationships/printerSettings" Target="../printerSettings/printerSettings1.bin"/><Relationship Id="rId5" Type="http://schemas.openxmlformats.org/officeDocument/2006/relationships/hyperlink" Target="https://www.gtfcc.org/wp-content/uploads/2023/12/2023-gtfcc-pami-cholera-elimination-training-dataset-fr.xlsx" TargetMode="External"/><Relationship Id="rId4" Type="http://schemas.openxmlformats.org/officeDocument/2006/relationships/hyperlink" Target="https://www.gtfcc.org/wp-content/uploads/2023/12/2023-gtfcc-pami-cholera-elimination-input-dataset-template-fr.xlsx"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315A-908D-4E62-88D0-4ECFBAA04F12}">
  <sheetPr codeName="Feuil1">
    <tabColor rgb="FFFFFFCC"/>
  </sheetPr>
  <dimension ref="B9:F49"/>
  <sheetViews>
    <sheetView showGridLines="0" showRowColHeaders="0" zoomScale="50" zoomScaleNormal="50" workbookViewId="0"/>
  </sheetViews>
  <sheetFormatPr defaultColWidth="11.7109375" defaultRowHeight="15" x14ac:dyDescent="0.25"/>
  <cols>
    <col min="1" max="1" width="11.7109375" style="4"/>
    <col min="2" max="2" width="11.7109375" style="15"/>
    <col min="3" max="3" width="200.7109375" style="4" customWidth="1"/>
    <col min="4" max="4" width="5.7109375" style="15" customWidth="1"/>
    <col min="5" max="5" width="177.140625" style="4" customWidth="1"/>
    <col min="6" max="16384" width="11.7109375" style="4"/>
  </cols>
  <sheetData>
    <row r="9" spans="2:6" ht="75" customHeight="1" x14ac:dyDescent="0.25">
      <c r="B9" s="170" t="s">
        <v>0</v>
      </c>
      <c r="C9" s="171"/>
      <c r="D9" s="171"/>
      <c r="E9" s="172"/>
    </row>
    <row r="10" spans="2:6" ht="18.75" x14ac:dyDescent="0.3">
      <c r="B10" s="20"/>
      <c r="C10" s="20"/>
      <c r="D10" s="21"/>
    </row>
    <row r="11" spans="2:6" ht="18.75" x14ac:dyDescent="0.3">
      <c r="B11" s="20"/>
      <c r="C11" s="20"/>
      <c r="D11" s="21"/>
      <c r="E11" s="84" t="s">
        <v>1</v>
      </c>
    </row>
    <row r="12" spans="2:6" ht="47.25" customHeight="1" x14ac:dyDescent="0.3">
      <c r="B12" s="176" t="s">
        <v>2</v>
      </c>
      <c r="C12" s="177"/>
      <c r="D12" s="71"/>
      <c r="E12" s="86" t="s">
        <v>3</v>
      </c>
      <c r="F12" s="22"/>
    </row>
    <row r="13" spans="2:6" ht="32.25" customHeight="1" x14ac:dyDescent="0.3">
      <c r="B13" s="173" t="s">
        <v>4</v>
      </c>
      <c r="C13" s="174"/>
      <c r="D13" s="72"/>
      <c r="E13" s="86" t="s">
        <v>5</v>
      </c>
      <c r="F13" s="22"/>
    </row>
    <row r="14" spans="2:6" ht="48" customHeight="1" x14ac:dyDescent="0.3">
      <c r="B14" s="173" t="s">
        <v>6</v>
      </c>
      <c r="C14" s="175"/>
      <c r="D14" s="71"/>
      <c r="E14" s="86" t="s">
        <v>7</v>
      </c>
      <c r="F14" s="22"/>
    </row>
    <row r="15" spans="2:6" ht="21.75" customHeight="1" x14ac:dyDescent="0.3">
      <c r="B15" s="173" t="s">
        <v>8</v>
      </c>
      <c r="C15" s="175"/>
      <c r="D15" s="71"/>
      <c r="E15" s="86" t="s">
        <v>9</v>
      </c>
      <c r="F15" s="22"/>
    </row>
    <row r="16" spans="2:6" ht="21.75" customHeight="1" x14ac:dyDescent="0.3">
      <c r="B16" s="165" t="s">
        <v>10</v>
      </c>
      <c r="C16" s="166"/>
      <c r="D16" s="71"/>
      <c r="E16" s="87" t="s">
        <v>11</v>
      </c>
      <c r="F16" s="22"/>
    </row>
    <row r="17" spans="2:5" x14ac:dyDescent="0.25">
      <c r="B17" s="159"/>
      <c r="C17" s="160"/>
      <c r="D17" s="161"/>
      <c r="E17" s="6"/>
    </row>
    <row r="18" spans="2:5" ht="25.5" customHeight="1" x14ac:dyDescent="0.25">
      <c r="B18" s="144" t="s">
        <v>12</v>
      </c>
      <c r="C18" s="145"/>
      <c r="D18" s="145"/>
      <c r="E18" s="146"/>
    </row>
    <row r="19" spans="2:5" x14ac:dyDescent="0.25">
      <c r="B19" s="41"/>
      <c r="C19" s="34"/>
      <c r="D19" s="41"/>
      <c r="E19" s="34"/>
    </row>
    <row r="20" spans="2:5" ht="18.75" x14ac:dyDescent="0.25">
      <c r="B20" s="147" t="s">
        <v>13</v>
      </c>
      <c r="C20" s="148"/>
      <c r="D20" s="148"/>
      <c r="E20" s="149"/>
    </row>
    <row r="21" spans="2:5" s="69" customFormat="1" ht="22.5" customHeight="1" x14ac:dyDescent="0.25">
      <c r="B21" s="68"/>
      <c r="C21" s="150" t="s">
        <v>14</v>
      </c>
      <c r="D21" s="151"/>
      <c r="E21" s="152"/>
    </row>
    <row r="22" spans="2:5" s="69" customFormat="1" ht="22.5" customHeight="1" x14ac:dyDescent="0.25">
      <c r="B22" s="68"/>
      <c r="C22" s="153" t="s">
        <v>15</v>
      </c>
      <c r="D22" s="151"/>
      <c r="E22" s="152"/>
    </row>
    <row r="23" spans="2:5" s="69" customFormat="1" ht="22.5" customHeight="1" x14ac:dyDescent="0.25">
      <c r="B23" s="68"/>
      <c r="C23" s="153" t="s">
        <v>176</v>
      </c>
      <c r="D23" s="154"/>
      <c r="E23" s="155"/>
    </row>
    <row r="24" spans="2:5" s="69" customFormat="1" ht="22.5" customHeight="1" x14ac:dyDescent="0.25">
      <c r="B24" s="68"/>
      <c r="C24" s="150" t="s">
        <v>16</v>
      </c>
      <c r="D24" s="151"/>
      <c r="E24" s="152"/>
    </row>
    <row r="25" spans="2:5" s="69" customFormat="1" ht="22.5" customHeight="1" x14ac:dyDescent="0.25">
      <c r="B25" s="68"/>
      <c r="C25" s="150" t="s">
        <v>17</v>
      </c>
      <c r="D25" s="151"/>
      <c r="E25" s="152"/>
    </row>
    <row r="26" spans="2:5" s="69" customFormat="1" ht="22.5" customHeight="1" x14ac:dyDescent="0.25">
      <c r="B26" s="68"/>
      <c r="C26" s="150" t="s">
        <v>18</v>
      </c>
      <c r="D26" s="151"/>
      <c r="E26" s="152"/>
    </row>
    <row r="27" spans="2:5" s="69" customFormat="1" ht="22.5" customHeight="1" x14ac:dyDescent="0.25">
      <c r="B27" s="68"/>
      <c r="C27" s="150" t="s">
        <v>177</v>
      </c>
      <c r="D27" s="151"/>
      <c r="E27" s="152"/>
    </row>
    <row r="28" spans="2:5" x14ac:dyDescent="0.25">
      <c r="B28" s="35"/>
      <c r="C28" s="36"/>
      <c r="D28" s="36"/>
      <c r="E28" s="40"/>
    </row>
    <row r="29" spans="2:5" ht="25.5" customHeight="1" x14ac:dyDescent="0.25">
      <c r="B29" s="144" t="s">
        <v>19</v>
      </c>
      <c r="C29" s="145"/>
      <c r="D29" s="145"/>
      <c r="E29" s="146"/>
    </row>
    <row r="30" spans="2:5" x14ac:dyDescent="0.25">
      <c r="B30" s="4"/>
      <c r="D30" s="4"/>
    </row>
    <row r="31" spans="2:5" ht="25.5" customHeight="1" x14ac:dyDescent="0.25">
      <c r="B31" s="167" t="s">
        <v>20</v>
      </c>
      <c r="C31" s="168"/>
      <c r="D31" s="168"/>
      <c r="E31" s="169"/>
    </row>
    <row r="32" spans="2:5" x14ac:dyDescent="0.25">
      <c r="B32" s="4"/>
      <c r="D32" s="4"/>
    </row>
    <row r="33" spans="2:5" ht="18.75" x14ac:dyDescent="0.25">
      <c r="B33" s="162" t="s">
        <v>21</v>
      </c>
      <c r="C33" s="163"/>
      <c r="D33" s="164"/>
    </row>
    <row r="34" spans="2:5" ht="18.75" x14ac:dyDescent="0.3">
      <c r="B34" s="22"/>
      <c r="C34" s="22"/>
      <c r="D34" s="23"/>
    </row>
    <row r="35" spans="2:5" ht="47.25" customHeight="1" x14ac:dyDescent="0.25">
      <c r="B35" s="25">
        <v>1</v>
      </c>
      <c r="C35" s="156" t="s">
        <v>22</v>
      </c>
      <c r="D35" s="157"/>
      <c r="E35" s="158"/>
    </row>
    <row r="36" spans="2:5" ht="18.75" x14ac:dyDescent="0.3">
      <c r="B36" s="24"/>
      <c r="C36" s="38"/>
      <c r="D36" s="39"/>
      <c r="E36" s="16"/>
    </row>
    <row r="37" spans="2:5" ht="47.25" customHeight="1" x14ac:dyDescent="0.25">
      <c r="B37" s="25">
        <v>2</v>
      </c>
      <c r="C37" s="138" t="s">
        <v>178</v>
      </c>
      <c r="D37" s="139"/>
      <c r="E37" s="140"/>
    </row>
    <row r="38" spans="2:5" ht="18.75" x14ac:dyDescent="0.3">
      <c r="B38" s="24"/>
      <c r="C38" s="42"/>
      <c r="D38" s="37"/>
      <c r="E38" s="43"/>
    </row>
    <row r="39" spans="2:5" ht="47.25" customHeight="1" x14ac:dyDescent="0.25">
      <c r="B39" s="25">
        <v>3</v>
      </c>
      <c r="C39" s="138" t="s">
        <v>179</v>
      </c>
      <c r="D39" s="139"/>
      <c r="E39" s="140"/>
    </row>
    <row r="40" spans="2:5" ht="18.75" x14ac:dyDescent="0.3">
      <c r="B40" s="24"/>
      <c r="C40" s="38"/>
      <c r="D40" s="39"/>
      <c r="E40" s="16"/>
    </row>
    <row r="41" spans="2:5" ht="65.25" customHeight="1" x14ac:dyDescent="0.25">
      <c r="B41" s="25">
        <v>4</v>
      </c>
      <c r="C41" s="138" t="s">
        <v>180</v>
      </c>
      <c r="D41" s="139"/>
      <c r="E41" s="140"/>
    </row>
    <row r="42" spans="2:5" ht="18.75" x14ac:dyDescent="0.3">
      <c r="B42" s="24"/>
      <c r="C42" s="38"/>
      <c r="D42" s="39"/>
      <c r="E42" s="16"/>
    </row>
    <row r="43" spans="2:5" ht="47.25" customHeight="1" x14ac:dyDescent="0.25">
      <c r="B43" s="25">
        <v>5</v>
      </c>
      <c r="C43" s="138" t="s">
        <v>23</v>
      </c>
      <c r="D43" s="139"/>
      <c r="E43" s="140"/>
    </row>
    <row r="44" spans="2:5" ht="18.75" x14ac:dyDescent="0.3">
      <c r="B44" s="22"/>
      <c r="C44" s="22"/>
      <c r="D44" s="23"/>
    </row>
    <row r="45" spans="2:5" ht="78.75" customHeight="1" x14ac:dyDescent="0.25">
      <c r="B45" s="141" t="s">
        <v>24</v>
      </c>
      <c r="C45" s="142"/>
      <c r="D45" s="142"/>
      <c r="E45" s="143"/>
    </row>
    <row r="46" spans="2:5" ht="15.75" thickBot="1" x14ac:dyDescent="0.3">
      <c r="B46" s="18"/>
      <c r="C46" s="19"/>
      <c r="D46" s="18"/>
      <c r="E46" s="19"/>
    </row>
    <row r="47" spans="2:5" x14ac:dyDescent="0.25">
      <c r="B47" s="17"/>
      <c r="C47" s="6"/>
      <c r="D47" s="17"/>
      <c r="E47" s="6"/>
    </row>
    <row r="49" spans="4:4" x14ac:dyDescent="0.25">
      <c r="D49" s="26"/>
    </row>
  </sheetData>
  <sheetProtection algorithmName="SHA-512" hashValue="MSaxi1B+KVuPjzXg3xscW4nkI5VDm9iZ/miQnRpKop4+2nWQRL2pynkFZaGDyA6t9rkrFGGuN66MZn8NbrgVjA==" saltValue="BKqOVJVi1zhI2U4PbtqFfw==" spinCount="100000" sheet="1" objects="1" scenarios="1"/>
  <mergeCells count="25">
    <mergeCell ref="B9:E9"/>
    <mergeCell ref="B13:C13"/>
    <mergeCell ref="B14:C14"/>
    <mergeCell ref="B15:C15"/>
    <mergeCell ref="B12:C12"/>
    <mergeCell ref="B17:D17"/>
    <mergeCell ref="B33:D33"/>
    <mergeCell ref="C39:E39"/>
    <mergeCell ref="B16:C16"/>
    <mergeCell ref="B29:E29"/>
    <mergeCell ref="B31:E31"/>
    <mergeCell ref="C26:E26"/>
    <mergeCell ref="C41:E41"/>
    <mergeCell ref="C43:E43"/>
    <mergeCell ref="B45:E45"/>
    <mergeCell ref="B18:E18"/>
    <mergeCell ref="B20:E20"/>
    <mergeCell ref="C21:E21"/>
    <mergeCell ref="C22:E22"/>
    <mergeCell ref="C24:E24"/>
    <mergeCell ref="C23:E23"/>
    <mergeCell ref="C25:E25"/>
    <mergeCell ref="C27:E27"/>
    <mergeCell ref="C37:E37"/>
    <mergeCell ref="C35:E35"/>
  </mergeCells>
  <hyperlinks>
    <hyperlink ref="E16" r:id="rId1" xr:uid="{AEBC412D-A3C6-447F-9E6E-763F9B2B3BFD}"/>
    <hyperlink ref="E12" r:id="rId2" xr:uid="{9CE23DAF-576E-4392-9370-712588154E0A}"/>
    <hyperlink ref="E13" r:id="rId3" xr:uid="{1EFECCBC-F107-4A4F-84E1-6043EC8276ED}"/>
    <hyperlink ref="E14" r:id="rId4" xr:uid="{491ED428-B40D-4E58-89D7-86ECCFBDB217}"/>
    <hyperlink ref="E15" r:id="rId5" xr:uid="{7D6D6EF5-F254-4984-97E6-16BCCDE22026}"/>
  </hyperlinks>
  <pageMargins left="0.7" right="0.7" top="0.75" bottom="0.75" header="0.3" footer="0.3"/>
  <pageSetup orientation="portrait" horizontalDpi="360" verticalDpi="36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AF52-95DE-4C5A-813B-EFDF484FDFAC}">
  <sheetPr codeName="Sheet1">
    <tabColor rgb="FFFFCC66"/>
  </sheetPr>
  <dimension ref="A1:A2"/>
  <sheetViews>
    <sheetView zoomScaleNormal="100" workbookViewId="0">
      <selection activeCell="B43" sqref="B43"/>
    </sheetView>
  </sheetViews>
  <sheetFormatPr defaultColWidth="9.140625" defaultRowHeight="12.75" x14ac:dyDescent="0.2"/>
  <cols>
    <col min="1" max="1" width="55" style="83" customWidth="1"/>
    <col min="2" max="16384" width="9.140625" style="83"/>
  </cols>
  <sheetData>
    <row r="1" spans="1:1" ht="26.25" customHeight="1" x14ac:dyDescent="0.2">
      <c r="A1" s="85" t="s">
        <v>181</v>
      </c>
    </row>
    <row r="2" spans="1:1" x14ac:dyDescent="0.2">
      <c r="A2" s="83" t="s">
        <v>182</v>
      </c>
    </row>
  </sheetData>
  <phoneticPr fontId="4" type="noConversion"/>
  <pageMargins left="0.7" right="0.7" top="0.75" bottom="0.75" header="0.3" footer="0.3"/>
  <pageSetup orientation="portrait"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BC342-3F57-40E7-AD04-EDDE96A34A9C}">
  <sheetPr codeName="Feuil2">
    <tabColor rgb="FFFFCC66"/>
  </sheetPr>
  <dimension ref="A1:N26"/>
  <sheetViews>
    <sheetView showGridLines="0" showRowColHeaders="0" zoomScale="25" zoomScaleNormal="25" workbookViewId="0">
      <pane xSplit="1" ySplit="5" topLeftCell="B6" activePane="bottomRight" state="frozen"/>
      <selection pane="topRight" activeCell="B1" sqref="B1"/>
      <selection pane="bottomLeft" activeCell="A6" sqref="A6"/>
      <selection pane="bottomRight" activeCell="AK19" sqref="AK19"/>
    </sheetView>
  </sheetViews>
  <sheetFormatPr defaultColWidth="5.28515625" defaultRowHeight="15.75" x14ac:dyDescent="0.25"/>
  <cols>
    <col min="1" max="1" width="3" style="111" customWidth="1"/>
    <col min="2" max="2" width="115.85546875" style="111" customWidth="1"/>
    <col min="3" max="3" width="5.7109375" style="111" customWidth="1"/>
    <col min="4" max="4" width="116.28515625" style="111" customWidth="1"/>
    <col min="5" max="5" width="41" style="111" customWidth="1"/>
    <col min="6" max="6" width="5.7109375" style="111" customWidth="1"/>
    <col min="7" max="7" width="54.85546875" style="111" customWidth="1"/>
    <col min="8" max="8" width="5.7109375" style="111" customWidth="1"/>
    <col min="9" max="9" width="96" style="111" customWidth="1"/>
    <col min="10" max="16384" width="5.28515625" style="111"/>
  </cols>
  <sheetData>
    <row r="1" spans="1:14" x14ac:dyDescent="0.25">
      <c r="G1" s="112"/>
      <c r="I1" s="112"/>
    </row>
    <row r="2" spans="1:14" s="113" customFormat="1" ht="75" customHeight="1" x14ac:dyDescent="0.25">
      <c r="B2" s="88" t="s">
        <v>25</v>
      </c>
      <c r="C2" s="89" t="s">
        <v>26</v>
      </c>
      <c r="D2" s="178" t="s">
        <v>27</v>
      </c>
      <c r="E2" s="179"/>
      <c r="F2" s="89" t="s">
        <v>26</v>
      </c>
      <c r="G2" s="88" t="s">
        <v>28</v>
      </c>
      <c r="H2" s="89" t="s">
        <v>26</v>
      </c>
      <c r="I2" s="90" t="s">
        <v>29</v>
      </c>
    </row>
    <row r="3" spans="1:14" ht="75" x14ac:dyDescent="0.25">
      <c r="A3" s="114"/>
      <c r="B3" s="91"/>
      <c r="C3" s="92"/>
      <c r="D3" s="93" t="s">
        <v>30</v>
      </c>
      <c r="E3" s="93" t="s">
        <v>31</v>
      </c>
      <c r="F3" s="92"/>
      <c r="G3" s="93" t="s">
        <v>32</v>
      </c>
      <c r="H3" s="92"/>
      <c r="I3" s="94" t="s">
        <v>33</v>
      </c>
      <c r="N3" s="115" t="s">
        <v>34</v>
      </c>
    </row>
    <row r="4" spans="1:14" s="116" customFormat="1" ht="18.75" x14ac:dyDescent="0.3">
      <c r="B4" s="95"/>
      <c r="C4" s="22"/>
      <c r="D4" s="95"/>
      <c r="E4" s="22"/>
      <c r="F4" s="22"/>
      <c r="G4" s="96"/>
      <c r="H4" s="22"/>
      <c r="I4" s="96"/>
    </row>
    <row r="5" spans="1:14" ht="39.75" customHeight="1" x14ac:dyDescent="0.35">
      <c r="A5" s="112"/>
      <c r="B5" s="97" t="s">
        <v>35</v>
      </c>
      <c r="C5" s="98"/>
      <c r="D5" s="97" t="s">
        <v>36</v>
      </c>
      <c r="E5" s="97" t="s">
        <v>37</v>
      </c>
      <c r="F5" s="98"/>
      <c r="G5" s="97" t="s">
        <v>38</v>
      </c>
      <c r="H5" s="98"/>
      <c r="I5" s="97" t="s">
        <v>39</v>
      </c>
    </row>
    <row r="6" spans="1:14" s="116" customFormat="1" ht="18.75" x14ac:dyDescent="0.3">
      <c r="B6" s="99"/>
      <c r="C6" s="22"/>
      <c r="D6" s="99"/>
      <c r="E6" s="100"/>
      <c r="F6" s="22"/>
      <c r="G6" s="96"/>
      <c r="H6" s="22"/>
      <c r="I6" s="96"/>
    </row>
    <row r="7" spans="1:14" ht="39.75" customHeight="1" x14ac:dyDescent="0.25">
      <c r="A7" s="112"/>
      <c r="B7" s="101" t="s">
        <v>40</v>
      </c>
      <c r="C7" s="102"/>
      <c r="D7" s="103" t="s">
        <v>41</v>
      </c>
      <c r="E7" s="104" t="s">
        <v>42</v>
      </c>
      <c r="F7" s="105"/>
      <c r="G7" s="106" t="s">
        <v>43</v>
      </c>
      <c r="H7" s="107"/>
      <c r="I7" s="108" t="s">
        <v>44</v>
      </c>
    </row>
    <row r="8" spans="1:14" ht="39.75" customHeight="1" x14ac:dyDescent="0.25">
      <c r="A8" s="112"/>
      <c r="B8" s="120" t="s">
        <v>168</v>
      </c>
      <c r="C8" s="117"/>
      <c r="D8" s="121" t="s">
        <v>45</v>
      </c>
      <c r="E8" s="110" t="s">
        <v>46</v>
      </c>
      <c r="F8" s="118"/>
      <c r="G8" s="122">
        <v>1</v>
      </c>
      <c r="H8" s="119"/>
      <c r="I8" s="123" t="s">
        <v>47</v>
      </c>
    </row>
    <row r="9" spans="1:14" ht="39" x14ac:dyDescent="0.25">
      <c r="A9" s="112"/>
      <c r="B9" s="120" t="s">
        <v>169</v>
      </c>
      <c r="C9" s="117"/>
      <c r="D9" s="121" t="s">
        <v>48</v>
      </c>
      <c r="E9" s="110" t="s">
        <v>49</v>
      </c>
      <c r="F9" s="118"/>
      <c r="G9" s="122">
        <v>1</v>
      </c>
      <c r="H9" s="119"/>
      <c r="I9" s="123" t="s">
        <v>47</v>
      </c>
    </row>
    <row r="10" spans="1:14" ht="39" x14ac:dyDescent="0.25">
      <c r="A10" s="112"/>
      <c r="B10" s="120" t="s">
        <v>175</v>
      </c>
      <c r="C10" s="117"/>
      <c r="D10" s="121" t="s">
        <v>174</v>
      </c>
      <c r="E10" s="110" t="s">
        <v>50</v>
      </c>
      <c r="F10" s="118"/>
      <c r="G10" s="122">
        <v>1</v>
      </c>
      <c r="H10" s="119"/>
      <c r="I10" s="123" t="s">
        <v>47</v>
      </c>
    </row>
    <row r="11" spans="1:14" ht="39.75" customHeight="1" x14ac:dyDescent="0.25">
      <c r="A11" s="112"/>
      <c r="B11" s="120" t="s">
        <v>170</v>
      </c>
      <c r="C11" s="117"/>
      <c r="D11" s="121" t="s">
        <v>51</v>
      </c>
      <c r="E11" s="110" t="s">
        <v>52</v>
      </c>
      <c r="F11" s="118"/>
      <c r="G11" s="122">
        <v>1</v>
      </c>
      <c r="H11" s="119"/>
      <c r="I11" s="123" t="s">
        <v>47</v>
      </c>
    </row>
    <row r="12" spans="1:14" ht="39.75" customHeight="1" x14ac:dyDescent="0.25">
      <c r="A12" s="112"/>
      <c r="B12" s="120" t="s">
        <v>53</v>
      </c>
      <c r="C12" s="117"/>
      <c r="D12" s="121" t="s">
        <v>54</v>
      </c>
      <c r="E12" s="110" t="s">
        <v>55</v>
      </c>
      <c r="F12" s="118"/>
      <c r="G12" s="122">
        <v>1</v>
      </c>
      <c r="H12" s="119"/>
      <c r="I12" s="123" t="s">
        <v>47</v>
      </c>
    </row>
    <row r="13" spans="1:14" ht="39.75" customHeight="1" x14ac:dyDescent="0.25">
      <c r="A13" s="112"/>
      <c r="B13" s="120" t="s">
        <v>56</v>
      </c>
      <c r="C13" s="117"/>
      <c r="D13" s="121" t="s">
        <v>57</v>
      </c>
      <c r="E13" s="110" t="s">
        <v>58</v>
      </c>
      <c r="F13" s="118"/>
      <c r="G13" s="122">
        <v>1</v>
      </c>
      <c r="H13" s="119"/>
      <c r="I13" s="123" t="s">
        <v>47</v>
      </c>
    </row>
    <row r="14" spans="1:14" ht="39.75" customHeight="1" x14ac:dyDescent="0.25">
      <c r="A14" s="112"/>
      <c r="B14" s="120" t="s">
        <v>59</v>
      </c>
      <c r="C14" s="117"/>
      <c r="D14" s="121" t="s">
        <v>60</v>
      </c>
      <c r="E14" s="110" t="s">
        <v>61</v>
      </c>
      <c r="F14" s="118"/>
      <c r="G14" s="122">
        <v>1</v>
      </c>
      <c r="H14" s="119"/>
      <c r="I14" s="123" t="s">
        <v>47</v>
      </c>
    </row>
    <row r="15" spans="1:14" ht="39.75" customHeight="1" x14ac:dyDescent="0.25">
      <c r="A15" s="112"/>
      <c r="B15" s="120" t="s">
        <v>171</v>
      </c>
      <c r="C15" s="117"/>
      <c r="D15" s="121" t="s">
        <v>62</v>
      </c>
      <c r="E15" s="110" t="s">
        <v>63</v>
      </c>
      <c r="F15" s="118"/>
      <c r="G15" s="122">
        <v>1</v>
      </c>
      <c r="H15" s="119"/>
      <c r="I15" s="123" t="s">
        <v>47</v>
      </c>
    </row>
    <row r="16" spans="1:14" ht="39.75" customHeight="1" x14ac:dyDescent="0.25">
      <c r="A16" s="112"/>
      <c r="B16" s="120" t="s">
        <v>64</v>
      </c>
      <c r="C16" s="117"/>
      <c r="D16" s="121" t="s">
        <v>65</v>
      </c>
      <c r="E16" s="110" t="s">
        <v>66</v>
      </c>
      <c r="F16" s="118"/>
      <c r="G16" s="122">
        <v>1</v>
      </c>
      <c r="H16" s="119"/>
      <c r="I16" s="123" t="s">
        <v>47</v>
      </c>
    </row>
    <row r="17" spans="1:9" ht="39.75" customHeight="1" x14ac:dyDescent="0.25">
      <c r="A17" s="112"/>
      <c r="B17" s="120" t="s">
        <v>173</v>
      </c>
      <c r="C17" s="117"/>
      <c r="D17" s="121" t="s">
        <v>67</v>
      </c>
      <c r="E17" s="110" t="s">
        <v>68</v>
      </c>
      <c r="F17" s="118"/>
      <c r="G17" s="122">
        <v>1</v>
      </c>
      <c r="H17" s="119"/>
      <c r="I17" s="123" t="s">
        <v>47</v>
      </c>
    </row>
    <row r="18" spans="1:9" ht="84.75" customHeight="1" x14ac:dyDescent="0.25">
      <c r="A18" s="112"/>
      <c r="B18" s="120" t="s">
        <v>69</v>
      </c>
      <c r="C18" s="117"/>
      <c r="D18" s="121" t="s">
        <v>70</v>
      </c>
      <c r="E18" s="110" t="s">
        <v>71</v>
      </c>
      <c r="F18" s="118"/>
      <c r="G18" s="122">
        <v>1</v>
      </c>
      <c r="H18" s="119"/>
      <c r="I18" s="123" t="s">
        <v>47</v>
      </c>
    </row>
    <row r="19" spans="1:9" ht="84.75" customHeight="1" x14ac:dyDescent="0.25">
      <c r="A19" s="112"/>
      <c r="B19" s="120" t="s">
        <v>172</v>
      </c>
      <c r="C19" s="117"/>
      <c r="D19" s="121" t="s">
        <v>72</v>
      </c>
      <c r="E19" s="110" t="s">
        <v>73</v>
      </c>
      <c r="F19" s="118"/>
      <c r="G19" s="122">
        <v>1</v>
      </c>
      <c r="H19" s="119"/>
      <c r="I19" s="123" t="s">
        <v>47</v>
      </c>
    </row>
    <row r="20" spans="1:9" ht="39.75" customHeight="1" x14ac:dyDescent="0.25">
      <c r="A20" s="112"/>
      <c r="B20" s="120" t="s">
        <v>74</v>
      </c>
      <c r="C20" s="117"/>
      <c r="D20" s="121" t="s">
        <v>75</v>
      </c>
      <c r="E20" s="110" t="s">
        <v>76</v>
      </c>
      <c r="F20" s="118"/>
      <c r="G20" s="122">
        <v>1</v>
      </c>
      <c r="H20" s="119"/>
      <c r="I20" s="123" t="s">
        <v>47</v>
      </c>
    </row>
    <row r="21" spans="1:9" ht="39.75" customHeight="1" x14ac:dyDescent="0.25">
      <c r="A21" s="112"/>
      <c r="B21" s="120" t="s">
        <v>77</v>
      </c>
      <c r="C21" s="117"/>
      <c r="D21" s="124" t="s">
        <v>78</v>
      </c>
      <c r="E21" s="109" t="s">
        <v>79</v>
      </c>
      <c r="F21" s="118"/>
      <c r="G21" s="122">
        <v>1</v>
      </c>
      <c r="H21" s="119"/>
      <c r="I21" s="123" t="s">
        <v>80</v>
      </c>
    </row>
    <row r="22" spans="1:9" ht="39.75" customHeight="1" x14ac:dyDescent="0.25">
      <c r="A22" s="112"/>
      <c r="B22" s="120" t="s">
        <v>81</v>
      </c>
      <c r="C22" s="117"/>
      <c r="D22" s="124" t="s">
        <v>78</v>
      </c>
      <c r="E22" s="109" t="s">
        <v>82</v>
      </c>
      <c r="F22" s="118"/>
      <c r="G22" s="122">
        <v>1</v>
      </c>
      <c r="H22" s="119"/>
      <c r="I22" s="123" t="s">
        <v>80</v>
      </c>
    </row>
    <row r="23" spans="1:9" ht="39.75" customHeight="1" x14ac:dyDescent="0.25">
      <c r="A23" s="112"/>
      <c r="B23" s="120" t="s">
        <v>83</v>
      </c>
      <c r="C23" s="117"/>
      <c r="D23" s="124" t="s">
        <v>78</v>
      </c>
      <c r="E23" s="109" t="s">
        <v>84</v>
      </c>
      <c r="F23" s="118"/>
      <c r="G23" s="122">
        <v>1</v>
      </c>
      <c r="H23" s="119"/>
      <c r="I23" s="123" t="s">
        <v>80</v>
      </c>
    </row>
    <row r="24" spans="1:9" ht="39.75" customHeight="1" x14ac:dyDescent="0.25">
      <c r="A24" s="112"/>
      <c r="B24" s="120" t="s">
        <v>85</v>
      </c>
      <c r="C24" s="117"/>
      <c r="D24" s="124" t="s">
        <v>78</v>
      </c>
      <c r="E24" s="109" t="s">
        <v>86</v>
      </c>
      <c r="F24" s="118"/>
      <c r="G24" s="122">
        <v>1</v>
      </c>
      <c r="H24" s="119"/>
      <c r="I24" s="123" t="s">
        <v>80</v>
      </c>
    </row>
    <row r="25" spans="1:9" x14ac:dyDescent="0.25">
      <c r="B25" s="125"/>
      <c r="C25" s="125"/>
      <c r="D25" s="125"/>
      <c r="E25" s="125"/>
      <c r="G25" s="125"/>
      <c r="I25" s="125"/>
    </row>
    <row r="26" spans="1:9" x14ac:dyDescent="0.25">
      <c r="E26" s="126"/>
    </row>
  </sheetData>
  <sheetProtection algorithmName="SHA-512" hashValue="LSQjRYAsF43vLM9r3eYSKZoZudcPiKXbcI2XIkXGqAjTvG7VHtf8Pg4kTb7IfheIZaY6zFqd3zBWEQu3hex7Gg==" saltValue="Xv9xbfZgVHtzW+aRxkBijg==" spinCount="100000" sheet="1" objects="1" scenarios="1" formatCells="0"/>
  <mergeCells count="1">
    <mergeCell ref="D2:E2"/>
  </mergeCells>
  <phoneticPr fontId="4" type="noConversion"/>
  <conditionalFormatting sqref="G8:G24">
    <cfRule type="colorScale" priority="6">
      <colorScale>
        <cfvo type="min"/>
        <cfvo type="num" val="1"/>
        <cfvo type="max"/>
        <color theme="8" tint="0.39997558519241921"/>
        <color theme="0" tint="-4.9989318521683403E-2"/>
        <color theme="5" tint="0.39997558519241921"/>
      </colorScale>
    </cfRule>
  </conditionalFormatting>
  <conditionalFormatting sqref="I8:I24">
    <cfRule type="containsText" dxfId="30" priority="7" operator="containsText" text="Exclus de l'index de vulnérabilité">
      <formula>NOT(ISERROR(SEARCH("Exclus de l'index de vulnérabilité",I8)))</formula>
    </cfRule>
    <cfRule type="containsText" dxfId="29" priority="8" operator="containsText" text="Inclus dans l'index de vulnérabilité">
      <formula>NOT(ISERROR(SEARCH("Inclus dans l'index de vulnérabilité",I8)))</formula>
    </cfRule>
  </conditionalFormatting>
  <dataValidations count="1">
    <dataValidation type="decimal" allowBlank="1" showInputMessage="1" showErrorMessage="1" prompt="Ajouter une valeur numérique pour le poids relatif du facteur correspondant" sqref="G8:G24" xr:uid="{3A1BEDF6-5D45-4AF1-8409-03DE5F70918F}">
      <formula1>0</formula1>
      <formula2>100</formula2>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showInputMessage="1" showErrorMessage="1" xr:uid="{702EA60C-79E4-4739-950F-4BF3E2135698}">
          <x14:formula1>
            <xm:f>'Names - Do not touch'!$G$5:$G$6</xm:f>
          </x14:formula1>
          <xm:sqref>I8:I24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DEC4-6D75-4541-AB01-FFF39F4FB91A}">
  <sheetPr codeName="Sheet3">
    <tabColor rgb="FF009999"/>
  </sheetPr>
  <dimension ref="A1:Y2"/>
  <sheetViews>
    <sheetView topLeftCell="L1" zoomScale="85" zoomScaleNormal="85" workbookViewId="0">
      <selection activeCell="X1" sqref="X1"/>
    </sheetView>
  </sheetViews>
  <sheetFormatPr defaultColWidth="36.140625" defaultRowHeight="15" x14ac:dyDescent="0.25"/>
  <cols>
    <col min="1" max="4" width="11.7109375" style="14" customWidth="1"/>
    <col min="5" max="23" width="11.7109375" style="28" customWidth="1"/>
    <col min="24" max="24" width="13.85546875" style="29" bestFit="1" customWidth="1"/>
    <col min="25" max="25" width="36.140625" style="13"/>
    <col min="26" max="16384" width="36.140625" style="12"/>
  </cols>
  <sheetData>
    <row r="1" spans="1:25" ht="135" customHeight="1" x14ac:dyDescent="0.25">
      <c r="A1" s="127" t="s">
        <v>87</v>
      </c>
      <c r="B1" s="128" t="s">
        <v>88</v>
      </c>
      <c r="C1" s="128" t="s">
        <v>89</v>
      </c>
      <c r="D1" s="128" t="s">
        <v>90</v>
      </c>
      <c r="E1" s="129" t="s">
        <v>42</v>
      </c>
      <c r="F1" s="130" t="s">
        <v>46</v>
      </c>
      <c r="G1" s="130" t="s">
        <v>49</v>
      </c>
      <c r="H1" s="130" t="s">
        <v>50</v>
      </c>
      <c r="I1" s="130" t="s">
        <v>52</v>
      </c>
      <c r="J1" s="130" t="s">
        <v>55</v>
      </c>
      <c r="K1" s="130" t="s">
        <v>58</v>
      </c>
      <c r="L1" s="130" t="s">
        <v>61</v>
      </c>
      <c r="M1" s="130" t="s">
        <v>63</v>
      </c>
      <c r="N1" s="130" t="s">
        <v>66</v>
      </c>
      <c r="O1" s="130" t="s">
        <v>68</v>
      </c>
      <c r="P1" s="130" t="s">
        <v>71</v>
      </c>
      <c r="Q1" s="130" t="s">
        <v>73</v>
      </c>
      <c r="R1" s="130" t="s">
        <v>76</v>
      </c>
      <c r="S1" s="130" t="s">
        <v>79</v>
      </c>
      <c r="T1" s="130" t="s">
        <v>91</v>
      </c>
      <c r="U1" s="130" t="s">
        <v>92</v>
      </c>
      <c r="V1" s="130" t="s">
        <v>93</v>
      </c>
      <c r="W1" s="128" t="s">
        <v>94</v>
      </c>
      <c r="X1" s="131" t="s">
        <v>95</v>
      </c>
      <c r="Y1" s="14"/>
    </row>
    <row r="2" spans="1:25" x14ac:dyDescent="0.25">
      <c r="A2" s="132" t="e" cm="1">
        <f t="array" aca="1" ref="A2" ca="1">INDIRECT(_0_uniq_id)</f>
        <v>#REF!</v>
      </c>
      <c r="B2" s="133" t="e" cm="1">
        <f t="array" aca="1" ref="B2" ca="1">INDIRECT(_1_adi_1)</f>
        <v>#REF!</v>
      </c>
      <c r="C2" s="133" t="e" cm="1">
        <f t="array" aca="1" ref="C2" ca="1">INDIRECT(_2_adi_2)</f>
        <v>#REF!</v>
      </c>
      <c r="D2" s="133" t="e" cm="1">
        <f t="array" aca="1" ref="D2" ca="1">INDIRECT(_3_pop)</f>
        <v>#REF!</v>
      </c>
      <c r="E2" s="134" t="e" cm="1">
        <f t="array" aca="1" ref="E2" ca="1">INDIRECT(_q01)</f>
        <v>#REF!</v>
      </c>
      <c r="F2" s="134" t="e" cm="1">
        <f t="array" aca="1" ref="F2" ca="1">INDIRECT(_q02)</f>
        <v>#REF!</v>
      </c>
      <c r="G2" s="134" t="e" cm="1">
        <f t="array" aca="1" ref="G2" ca="1">INDIRECT(_q03)</f>
        <v>#REF!</v>
      </c>
      <c r="H2" s="134" t="e" cm="1">
        <f t="array" aca="1" ref="H2" ca="1">INDIRECT(_q04)</f>
        <v>#REF!</v>
      </c>
      <c r="I2" s="134" t="e" cm="1">
        <f t="array" aca="1" ref="I2" ca="1">INDIRECT(_q05)</f>
        <v>#REF!</v>
      </c>
      <c r="J2" s="134" t="e" cm="1">
        <f t="array" aca="1" ref="J2" ca="1">INDIRECT(_q06)</f>
        <v>#REF!</v>
      </c>
      <c r="K2" s="134" t="e" cm="1">
        <f t="array" aca="1" ref="K2" ca="1">INDIRECT(_q07)</f>
        <v>#REF!</v>
      </c>
      <c r="L2" s="134" t="e" cm="1">
        <f t="array" aca="1" ref="L2" ca="1">INDIRECT(_q08)</f>
        <v>#REF!</v>
      </c>
      <c r="M2" s="134" t="e" cm="1">
        <f t="array" aca="1" ref="M2" ca="1">INDIRECT(_q09)</f>
        <v>#REF!</v>
      </c>
      <c r="N2" s="134" t="e" cm="1">
        <f t="array" aca="1" ref="N2" ca="1">INDIRECT(_q10)</f>
        <v>#REF!</v>
      </c>
      <c r="O2" s="134" t="e" cm="1">
        <f t="array" aca="1" ref="O2" ca="1">INDIRECT(_q11)</f>
        <v>#REF!</v>
      </c>
      <c r="P2" s="134" t="e" cm="1">
        <f t="array" aca="1" ref="P2" ca="1">INDIRECT(_q12)</f>
        <v>#REF!</v>
      </c>
      <c r="Q2" s="134" t="e" cm="1">
        <f t="array" aca="1" ref="Q2" ca="1">INDIRECT(_q13)</f>
        <v>#REF!</v>
      </c>
      <c r="R2" s="134" t="e" cm="1">
        <f t="array" aca="1" ref="R2" ca="1">INDIRECT(_q14)</f>
        <v>#REF!</v>
      </c>
      <c r="S2" s="134" t="e" cm="1">
        <f t="array" aca="1" ref="S2" ca="1">INDIRECT(_q15)</f>
        <v>#REF!</v>
      </c>
      <c r="T2" s="134" t="e" cm="1">
        <f t="array" aca="1" ref="T2" ca="1">INDIRECT(_q16)</f>
        <v>#REF!</v>
      </c>
      <c r="U2" s="134" t="e" cm="1">
        <f t="array" aca="1" ref="U2" ca="1">INDIRECT(_q17)</f>
        <v>#REF!</v>
      </c>
      <c r="V2" s="134" t="e" cm="1">
        <f t="array" aca="1" ref="V2" ca="1">INDIRECT(_q18)</f>
        <v>#REF!</v>
      </c>
      <c r="W2" s="135">
        <f ca="1">COUNTIF(working_table[[#This Row],[FV_01_chol_epid]:[FV_18_facteur_add_4]],"Valeur_manquante")</f>
        <v>0</v>
      </c>
      <c r="X2" s="136" t="e">
        <f ca="1">IF(working_table[[#This Row],[FV_01_chol_epid]]= "Oui", "PAMI par defaut",
IF('─&gt; Selection vulner. facteurs'!$I$8="Inclus dans l'index de vulnérabilité", IF(working_table[[#This Row],[FV_02_chol_import]]="Oui", 1*'─&gt; Selection vulner. facteurs'!$G$8, 0),0) +
IF('─&gt; Selection vulner. facteurs'!$I$9="Inclus dans l'index de vulnérabilité", IF(working_table[[#This Row],[FV_03_prox_zone_cholera]]="Oui", 1*'─&gt; Selection vulner. facteurs'!$G$9, 0),0) +
IF('─&gt; Selection vulner. facteurs'!$I$10="Inclus dans l'index de vulnérabilité", IF(working_table[[#This Row],[FV_04_voies_com_maj]]="Oui", 1*'─&gt; Selection vulner. facteurs'!$G$10, 0),0) +
IF('─&gt; Selection vulner. facteurs'!$I$11="Inclus dans l'index de vulnérabilité", IF(working_table[[#This Row],[FV_05_rassemb_popul]]="Oui", 1*'─&gt; Selection vulner. facteurs'!$G$11, 0),0) +
IF('─&gt; Selection vulner. facteurs'!$I$12="Inclus dans l'index de vulnérabilité", IF(working_table[[#This Row],[FV_06_zone_surpeupl]]="Oui", 1*'─&gt; Selection vulner. facteurs'!$G$12, 0),0) +
IF('─&gt; Selection vulner. facteurs'!$I$13="Inclus dans l'index de vulnérabilité", IF(working_table[[#This Row],[FV_07_pop_spec_risk]]="Oui", 1*'─&gt; Selection vulner. facteurs'!$G$13, 0),0) +
IF('─&gt; Selection vulner. facteurs'!$I$14="Inclus dans l'index de vulnérabilité", IF(working_table[[#This Row],[FV_08_pop_access_diff]]="Oui", 1*'─&gt; Selection vulner. facteurs'!$G$14, 0),0) +
IF('─&gt; Selection vulner. facteurs'!$I$15="Inclus dans l'index de vulnérabilité", IF(working_table[[#This Row],[FV_09_vacc_sup_3_ans]]="Oui", 1*'─&gt; Selection vulner. facteurs'!$G$15, 0),0) +
IF('─&gt; Selection vulner. facteurs'!$I$16="Inclus dans l'index de vulnérabilité", IF(working_table[[#This Row],[FV_10_climate_ev]]="Oui", 1*'─&gt; Selection vulner. facteurs'!$G$16, 0),0) +
IF('─&gt; Selection vulner. facteurs'!$I$17="Inclus dans l'index de vulnérabilité", IF(working_table[[#This Row],[FV_11_urgence_hum_comp]]="Oui", 1*'─&gt; Selection vulner. facteurs'!$G$17, 0),0) +
IF('─&gt; Selection vulner. facteurs'!$I$18="Inclus dans l'index de vulnérabilité", IF(working_table[[#This Row],[FV_12_EHA_ind_eau]]="Oui", 1*'─&gt; Selection vulner. facteurs'!$G$18, 0),0) +
IF('─&gt; Selection vulner. facteurs'!$I$19="Inclus dans l'index de vulnérabilité", IF(working_table[[#This Row],[FV_13_EHA_ind_assain]]="Oui", 1*'─&gt; Selection vulner. facteurs'!$G$19, 0),0) +
IF('─&gt; Selection vulner. facteurs'!$I$20="Inclus dans l'index de vulnérabilité", IF(working_table[[#This Row],[FV_14_EHA_ind_hygiene]]="Oui", 1*'─&gt; Selection vulner. facteurs'!$G$20, 0),0) +
IF('─&gt; Selection vulner. facteurs'!$I$21="Inclus dans l'index de vulnérabilité", IF(working_table[[#This Row],[FV_15_facteur_add_1]]="Oui", 1*'─&gt; Selection vulner. facteurs'!$G$21, 0),0) +
IF('─&gt; Selection vulner. facteurs'!$I$22="Inclus dans l'index de vulnérabilité", IF(working_table[[#This Row],[FV_16_facteur_add_2]]="Oui", 1*'─&gt; Selection vulner. facteurs'!$G$22, 0),0) +
IF('─&gt; Selection vulner. facteurs'!$I$23="Inclus dans l'index de vulnérabilité", IF(working_table[[#This Row],[FV_17_facteur_add_3]]="Oui", 1*'─&gt; Selection vulner. facteurs'!$G$23, 0),0) +
IF('─&gt; Selection vulner. facteurs'!$I$24="Inclus dans l'index de vulnérabilité", IF(working_table[[#This Row],[FV_18_facteur_add_4]]="Oui", 1*'─&gt; Selection vulner. facteurs'!$G$24, 0),0))</f>
        <v>#REF!</v>
      </c>
    </row>
  </sheetData>
  <sheetProtection algorithmName="SHA-512" hashValue="xeZXPo5m2i1QOL3nLdIqn5jfEbV7a9Is+HvkE3NaOYxQNuggLw2Dyi9S6fS6XfylNji932FPfk4ve2Z8Im4ibw==" saltValue="0Gqd2CuANaGbSbZmiHHkXQ==" spinCount="100000" sheet="1" objects="1" scenarios="1" deleteRows="0"/>
  <phoneticPr fontId="4" type="noConversion"/>
  <conditionalFormatting sqref="E2:V2">
    <cfRule type="containsText" dxfId="28" priority="1" operator="containsText" text="Exclu">
      <formula>NOT(ISERROR(SEARCH("Exclu",E2)))</formula>
    </cfRule>
    <cfRule type="containsText" dxfId="27" priority="2" operator="containsText" text="Valeur_manquante">
      <formula>NOT(ISERROR(SEARCH("Valeur_manquante",E2)))</formula>
    </cfRule>
    <cfRule type="containsText" dxfId="26" priority="3" operator="containsText" text="Oui">
      <formula>NOT(ISERROR(SEARCH("Oui",E2)))</formula>
    </cfRule>
  </conditionalFormatting>
  <conditionalFormatting sqref="W2">
    <cfRule type="cellIs" dxfId="25" priority="71" operator="greaterThan">
      <formula>0</formula>
    </cfRule>
    <cfRule type="iconSet" priority="72">
      <iconSet iconSet="5Quarters">
        <cfvo type="percent" val="0"/>
        <cfvo type="percent" val="20"/>
        <cfvo type="percent" val="40"/>
        <cfvo type="percent" val="60"/>
        <cfvo type="percent" val="80"/>
      </iconSet>
    </cfRule>
  </conditionalFormatting>
  <conditionalFormatting sqref="X2">
    <cfRule type="colorScale" priority="73">
      <colorScale>
        <cfvo type="min"/>
        <cfvo type="percentile" val="50"/>
        <cfvo type="max"/>
        <color rgb="FF0070C0"/>
        <color rgb="FFFFEB84"/>
        <color rgb="FFF8696B"/>
      </colorScale>
    </cfRule>
    <cfRule type="containsText" dxfId="24" priority="74" operator="containsText" text="PAMI">
      <formula>NOT(ISERROR(SEARCH("PAMI",X2)))</formula>
    </cfRule>
  </conditionalFormatting>
  <pageMargins left="0.7" right="0.7" top="0.75" bottom="0.75" header="0.3" footer="0.3"/>
  <pageSetup orientation="portrait"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39C-FBEB-49E4-AFEC-19C3D34FB760}">
  <sheetPr codeName="Sheet2">
    <tabColor rgb="FF009999"/>
  </sheetPr>
  <dimension ref="A1:I31"/>
  <sheetViews>
    <sheetView showGridLines="0" showRowColHeaders="0" zoomScaleNormal="100" workbookViewId="0">
      <selection activeCell="B4" sqref="B4:I4"/>
    </sheetView>
  </sheetViews>
  <sheetFormatPr defaultColWidth="2.42578125" defaultRowHeight="15.75" x14ac:dyDescent="0.25"/>
  <cols>
    <col min="1" max="1" width="3.42578125" style="2" customWidth="1"/>
    <col min="2" max="2" width="26.7109375" style="3" customWidth="1"/>
    <col min="3" max="9" width="26.7109375" style="1" customWidth="1"/>
    <col min="10" max="16384" width="2.42578125" style="1"/>
  </cols>
  <sheetData>
    <row r="1" spans="2:9" ht="9.75" customHeight="1" x14ac:dyDescent="0.25"/>
    <row r="2" spans="2:9" x14ac:dyDescent="0.25">
      <c r="B2" s="180" t="s">
        <v>96</v>
      </c>
      <c r="C2" s="181"/>
      <c r="D2" s="181"/>
      <c r="E2" s="181"/>
      <c r="F2" s="181"/>
      <c r="G2" s="181"/>
      <c r="H2" s="182"/>
    </row>
    <row r="3" spans="2:9" ht="9.75" customHeight="1" x14ac:dyDescent="0.25"/>
    <row r="4" spans="2:9" ht="35.25" customHeight="1" x14ac:dyDescent="0.25">
      <c r="B4" s="183" t="s">
        <v>183</v>
      </c>
      <c r="C4" s="184"/>
      <c r="D4" s="184"/>
      <c r="E4" s="184"/>
      <c r="F4" s="184"/>
      <c r="G4" s="184"/>
      <c r="H4" s="184"/>
      <c r="I4" s="185"/>
    </row>
    <row r="5" spans="2:9" ht="327" customHeight="1" x14ac:dyDescent="0.25"/>
    <row r="6" spans="2:9" x14ac:dyDescent="0.25">
      <c r="B6"/>
      <c r="C6"/>
      <c r="D6"/>
      <c r="E6"/>
      <c r="F6"/>
      <c r="G6"/>
      <c r="H6"/>
      <c r="I6"/>
    </row>
    <row r="7" spans="2:9" ht="30" x14ac:dyDescent="0.25">
      <c r="B7" s="80" t="s">
        <v>97</v>
      </c>
      <c r="C7" s="70" t="s">
        <v>98</v>
      </c>
      <c r="D7" s="70" t="s">
        <v>99</v>
      </c>
      <c r="E7" s="70" t="s">
        <v>100</v>
      </c>
      <c r="F7" s="70" t="s">
        <v>101</v>
      </c>
      <c r="G7" s="70" t="s">
        <v>102</v>
      </c>
      <c r="H7" s="70" t="s">
        <v>103</v>
      </c>
      <c r="I7" s="70" t="s">
        <v>104</v>
      </c>
    </row>
    <row r="8" spans="2:9" x14ac:dyDescent="0.25">
      <c r="B8" s="81" t="s">
        <v>105</v>
      </c>
      <c r="C8">
        <v>1</v>
      </c>
      <c r="D8">
        <v>1</v>
      </c>
      <c r="E8" s="77" t="s">
        <v>106</v>
      </c>
      <c r="F8" s="76" t="s">
        <v>106</v>
      </c>
      <c r="G8" t="s">
        <v>106</v>
      </c>
      <c r="H8" s="77" t="s">
        <v>106</v>
      </c>
      <c r="I8" s="76" t="s">
        <v>106</v>
      </c>
    </row>
    <row r="9" spans="2:9" x14ac:dyDescent="0.25">
      <c r="B9" s="82" t="s">
        <v>107</v>
      </c>
      <c r="C9" s="137" t="s">
        <v>106</v>
      </c>
      <c r="D9" s="137"/>
      <c r="E9" s="73" t="s">
        <v>106</v>
      </c>
      <c r="F9" s="73" t="s">
        <v>106</v>
      </c>
      <c r="G9" s="137" t="s">
        <v>106</v>
      </c>
      <c r="H9" s="73" t="s">
        <v>106</v>
      </c>
      <c r="I9" s="73" t="s">
        <v>106</v>
      </c>
    </row>
    <row r="10" spans="2:9" x14ac:dyDescent="0.25">
      <c r="B10"/>
      <c r="C10"/>
      <c r="D10"/>
      <c r="E10"/>
      <c r="F10"/>
      <c r="G10"/>
      <c r="H10"/>
      <c r="I10"/>
    </row>
    <row r="11" spans="2:9" x14ac:dyDescent="0.25">
      <c r="B11"/>
      <c r="C11"/>
      <c r="D11"/>
      <c r="E11"/>
      <c r="F11"/>
      <c r="G11"/>
      <c r="H11"/>
      <c r="I11"/>
    </row>
    <row r="12" spans="2:9" x14ac:dyDescent="0.25">
      <c r="B12"/>
      <c r="C12"/>
      <c r="D12"/>
      <c r="E12"/>
      <c r="F12"/>
      <c r="G12"/>
      <c r="H12"/>
      <c r="I12"/>
    </row>
    <row r="13" spans="2:9" x14ac:dyDescent="0.25">
      <c r="B13"/>
      <c r="C13"/>
      <c r="D13"/>
      <c r="E13"/>
      <c r="F13"/>
      <c r="G13"/>
      <c r="H13"/>
      <c r="I13"/>
    </row>
    <row r="14" spans="2:9" x14ac:dyDescent="0.25">
      <c r="B14"/>
      <c r="C14"/>
      <c r="D14"/>
      <c r="E14"/>
      <c r="F14"/>
      <c r="G14"/>
      <c r="H14"/>
      <c r="I14"/>
    </row>
    <row r="15" spans="2:9" x14ac:dyDescent="0.25">
      <c r="B15"/>
      <c r="C15"/>
      <c r="D15"/>
      <c r="E15"/>
      <c r="F15"/>
      <c r="G15"/>
      <c r="H15"/>
      <c r="I15"/>
    </row>
    <row r="16" spans="2:9" x14ac:dyDescent="0.25">
      <c r="B16"/>
      <c r="C16"/>
      <c r="D16"/>
      <c r="E16"/>
      <c r="F16"/>
      <c r="G16"/>
      <c r="H16"/>
      <c r="I16"/>
    </row>
    <row r="17" spans="2:9" x14ac:dyDescent="0.25">
      <c r="B17"/>
      <c r="C17"/>
      <c r="D17"/>
      <c r="E17"/>
      <c r="F17"/>
      <c r="G17"/>
      <c r="H17"/>
      <c r="I17"/>
    </row>
    <row r="18" spans="2:9" x14ac:dyDescent="0.25">
      <c r="B18"/>
      <c r="C18"/>
      <c r="D18"/>
      <c r="E18"/>
      <c r="F18"/>
      <c r="G18"/>
      <c r="H18"/>
      <c r="I18"/>
    </row>
    <row r="19" spans="2:9" x14ac:dyDescent="0.25">
      <c r="B19"/>
      <c r="C19"/>
      <c r="D19"/>
      <c r="E19"/>
      <c r="F19"/>
      <c r="G19"/>
      <c r="H19"/>
      <c r="I19"/>
    </row>
    <row r="20" spans="2:9" x14ac:dyDescent="0.25">
      <c r="B20"/>
      <c r="C20"/>
      <c r="D20"/>
      <c r="E20"/>
      <c r="F20"/>
      <c r="G20"/>
      <c r="H20"/>
      <c r="I20"/>
    </row>
    <row r="21" spans="2:9" x14ac:dyDescent="0.25">
      <c r="B21"/>
      <c r="C21"/>
      <c r="D21"/>
      <c r="E21"/>
      <c r="F21"/>
      <c r="G21"/>
      <c r="H21"/>
      <c r="I21"/>
    </row>
    <row r="22" spans="2:9" x14ac:dyDescent="0.25">
      <c r="B22"/>
      <c r="C22"/>
      <c r="D22"/>
      <c r="E22"/>
      <c r="F22"/>
      <c r="G22"/>
      <c r="H22"/>
    </row>
    <row r="23" spans="2:9" x14ac:dyDescent="0.25">
      <c r="B23"/>
      <c r="C23"/>
      <c r="D23"/>
      <c r="E23"/>
      <c r="F23"/>
      <c r="G23"/>
      <c r="H23"/>
    </row>
    <row r="24" spans="2:9" x14ac:dyDescent="0.25">
      <c r="B24"/>
      <c r="C24"/>
      <c r="D24"/>
      <c r="E24"/>
      <c r="F24"/>
      <c r="G24"/>
      <c r="H24"/>
    </row>
    <row r="25" spans="2:9" x14ac:dyDescent="0.25">
      <c r="B25"/>
      <c r="C25"/>
    </row>
    <row r="26" spans="2:9" x14ac:dyDescent="0.25">
      <c r="B26"/>
      <c r="C26"/>
    </row>
    <row r="27" spans="2:9" x14ac:dyDescent="0.25">
      <c r="B27"/>
      <c r="C27"/>
    </row>
    <row r="28" spans="2:9" x14ac:dyDescent="0.25">
      <c r="B28"/>
      <c r="C28"/>
    </row>
    <row r="29" spans="2:9" x14ac:dyDescent="0.25">
      <c r="B29"/>
      <c r="C29"/>
    </row>
    <row r="30" spans="2:9" x14ac:dyDescent="0.25">
      <c r="B30"/>
      <c r="C30"/>
    </row>
    <row r="31" spans="2:9" x14ac:dyDescent="0.25">
      <c r="B31"/>
      <c r="C31"/>
    </row>
  </sheetData>
  <mergeCells count="2">
    <mergeCell ref="B2:H2"/>
    <mergeCell ref="B4:I4"/>
  </mergeCells>
  <conditionalFormatting pivot="1" sqref="E8">
    <cfRule type="dataBar" priority="2">
      <dataBar>
        <cfvo type="min"/>
        <cfvo type="max"/>
        <color rgb="FF83D9D7"/>
      </dataBar>
      <extLst>
        <ext xmlns:x14="http://schemas.microsoft.com/office/spreadsheetml/2009/9/main" uri="{B025F937-C7B1-47D3-B67F-A62EFF666E3E}">
          <x14:id>{B6A410A9-8071-4542-B45D-5F88254817C5}</x14:id>
        </ext>
      </extLst>
    </cfRule>
  </conditionalFormatting>
  <conditionalFormatting pivot="1" sqref="H8">
    <cfRule type="dataBar" priority="1">
      <dataBar>
        <cfvo type="min"/>
        <cfvo type="max"/>
        <color rgb="FF83D9D7"/>
      </dataBar>
      <extLst>
        <ext xmlns:x14="http://schemas.microsoft.com/office/spreadsheetml/2009/9/main" uri="{B025F937-C7B1-47D3-B67F-A62EFF666E3E}">
          <x14:id>{082D335B-EC82-4A1D-936D-F4C8572B718F}</x14:id>
        </ext>
      </extLst>
    </cfRule>
  </conditionalFormatting>
  <pageMargins left="0.7" right="0.7" top="0.75" bottom="0.75" header="0.3" footer="0.3"/>
  <pageSetup orientation="portrait" horizontalDpi="360" verticalDpi="360" r:id="rId2"/>
  <drawing r:id="rId3"/>
  <extLst>
    <ext xmlns:x14="http://schemas.microsoft.com/office/spreadsheetml/2009/9/main" uri="{78C0D931-6437-407d-A8EE-F0AAD7539E65}">
      <x14:conditionalFormattings>
        <x14:conditionalFormatting xmlns:xm="http://schemas.microsoft.com/office/excel/2006/main" pivot="1">
          <x14:cfRule type="dataBar" id="{B6A410A9-8071-4542-B45D-5F88254817C5}">
            <x14:dataBar minLength="0" maxLength="100" gradient="0">
              <x14:cfvo type="autoMin"/>
              <x14:cfvo type="autoMax"/>
              <x14:negativeFillColor rgb="FFFF0000"/>
              <x14:axisColor rgb="FF000000"/>
            </x14:dataBar>
          </x14:cfRule>
          <xm:sqref>E8</xm:sqref>
        </x14:conditionalFormatting>
        <x14:conditionalFormatting xmlns:xm="http://schemas.microsoft.com/office/excel/2006/main" pivot="1">
          <x14:cfRule type="dataBar" id="{082D335B-EC82-4A1D-936D-F4C8572B718F}">
            <x14:dataBar minLength="0" maxLength="100" gradient="0">
              <x14:cfvo type="autoMin"/>
              <x14:cfvo type="autoMax"/>
              <x14:negativeFillColor rgb="FFFF0000"/>
              <x14:axisColor rgb="FF000000"/>
            </x14:dataBar>
          </x14:cfRule>
          <xm:sqref>H8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273C0-16FA-4EFA-8091-8A8827E367A2}">
  <sheetPr codeName="Feuil3">
    <tabColor rgb="FF009999"/>
  </sheetPr>
  <dimension ref="B2:N22"/>
  <sheetViews>
    <sheetView showGridLines="0" showRowColHeaders="0" topLeftCell="C10" zoomScaleNormal="100" workbookViewId="0">
      <selection activeCell="U19" sqref="U19"/>
    </sheetView>
  </sheetViews>
  <sheetFormatPr defaultColWidth="2.140625" defaultRowHeight="15" x14ac:dyDescent="0.25"/>
  <cols>
    <col min="1" max="1" width="2.140625" style="52"/>
    <col min="2" max="2" width="144.42578125" style="52" customWidth="1"/>
    <col min="3" max="4" width="2.140625" style="52"/>
    <col min="5" max="5" width="18.28515625" style="52" bestFit="1" customWidth="1"/>
    <col min="6" max="6" width="6.85546875" style="52" bestFit="1" customWidth="1"/>
    <col min="7" max="7" width="8.140625" style="52" bestFit="1" customWidth="1"/>
    <col min="8" max="8" width="7.42578125" style="52" bestFit="1" customWidth="1"/>
    <col min="9" max="9" width="2.140625" style="52"/>
    <col min="10" max="10" width="18.28515625" style="52" bestFit="1" customWidth="1"/>
    <col min="11" max="11" width="7.42578125" style="52" bestFit="1" customWidth="1"/>
    <col min="12" max="12" width="8.140625" style="52" bestFit="1" customWidth="1"/>
    <col min="13" max="13" width="8.28515625" style="52" bestFit="1" customWidth="1"/>
    <col min="14" max="16384" width="2.140625" style="52"/>
  </cols>
  <sheetData>
    <row r="2" spans="2:14" ht="30" customHeight="1" x14ac:dyDescent="0.25">
      <c r="B2" s="66" t="s">
        <v>35</v>
      </c>
      <c r="C2" s="67"/>
      <c r="D2" s="67"/>
      <c r="E2" s="186" t="s">
        <v>108</v>
      </c>
      <c r="F2" s="187"/>
      <c r="G2" s="187"/>
      <c r="H2" s="188"/>
      <c r="I2" s="67"/>
      <c r="J2" s="186" t="s">
        <v>109</v>
      </c>
      <c r="K2" s="187"/>
      <c r="L2" s="187"/>
      <c r="M2" s="188"/>
    </row>
    <row r="3" spans="2:14" ht="30" customHeight="1" x14ac:dyDescent="0.25">
      <c r="B3" s="54"/>
      <c r="C3" s="54"/>
      <c r="D3" s="54"/>
      <c r="E3" s="55" t="s">
        <v>110</v>
      </c>
      <c r="F3" s="55" t="s">
        <v>111</v>
      </c>
      <c r="G3" s="55" t="s">
        <v>112</v>
      </c>
      <c r="H3" s="55" t="s">
        <v>113</v>
      </c>
      <c r="I3" s="54"/>
      <c r="J3" s="55" t="s">
        <v>110</v>
      </c>
      <c r="K3" s="55" t="s">
        <v>111</v>
      </c>
      <c r="L3" s="55" t="s">
        <v>112</v>
      </c>
      <c r="M3" s="55" t="s">
        <v>113</v>
      </c>
    </row>
    <row r="5" spans="2:14" s="51" customFormat="1" ht="27" customHeight="1" x14ac:dyDescent="0.25">
      <c r="B5" s="74" t="str">
        <f>'─&gt; Selection vulner. facteurs'!B7</f>
        <v>Épidémie(s) de choléra confirmée(s) au cours de la période d’analyse</v>
      </c>
      <c r="C5" s="61"/>
      <c r="D5" s="52"/>
      <c r="E5" s="63">
        <f ca="1">COUNTIF(working_table[FV_01_chol_epid], "Valeur_manquante")</f>
        <v>0</v>
      </c>
      <c r="F5" s="50">
        <f ca="1">COUNTIF(working_table[FV_01_chol_epid], "Non")</f>
        <v>0</v>
      </c>
      <c r="G5" s="50">
        <f ca="1">COUNTIF(working_table[FV_01_chol_epid], "Oui")</f>
        <v>0</v>
      </c>
      <c r="H5" s="50">
        <f t="shared" ref="H5:H22" ca="1" si="0">SUM(E5:G5)</f>
        <v>0</v>
      </c>
      <c r="I5" s="52"/>
      <c r="J5" s="59" t="str">
        <f ca="1">IF(H5=0, ".",(E5/$H5))</f>
        <v>.</v>
      </c>
      <c r="K5" s="53" t="str">
        <f ca="1">IF(H5=0,".",(F5/$H5))</f>
        <v>.</v>
      </c>
      <c r="L5" s="53" t="str">
        <f ca="1">IF(H5=0,".",(G5/$H5))</f>
        <v>.</v>
      </c>
      <c r="M5" s="53" t="str">
        <f ca="1">IF(H5=0,".",(H5/$H5))</f>
        <v>.</v>
      </c>
      <c r="N5" s="52"/>
    </row>
    <row r="6" spans="2:14" ht="27" customHeight="1" x14ac:dyDescent="0.25">
      <c r="B6" s="74" t="str">
        <f>'─&gt; Selection vulner. facteurs'!B8</f>
        <v>Cas importés de choléra confirmés dans l’unité géographique opérationnelle du PNC considérée</v>
      </c>
      <c r="C6" s="61"/>
      <c r="E6" s="63">
        <f ca="1">COUNTIF(working_table[FV_02_chol_import], "Valeur_manquante")</f>
        <v>0</v>
      </c>
      <c r="F6" s="50">
        <f ca="1">COUNTIF(working_table[FV_02_chol_import], "Non")</f>
        <v>0</v>
      </c>
      <c r="G6" s="50">
        <f ca="1">COUNTIF(working_table[FV_02_chol_import], "Oui")</f>
        <v>0</v>
      </c>
      <c r="H6" s="50">
        <f t="shared" ca="1" si="0"/>
        <v>0</v>
      </c>
      <c r="J6" s="59" t="str">
        <f t="shared" ref="J6:J22" ca="1" si="1">IF(H6=0, ".",(E6/$H6))</f>
        <v>.</v>
      </c>
      <c r="K6" s="53" t="str">
        <f t="shared" ref="K6:K22" ca="1" si="2">IF(H6=0,".",(F6/$H6))</f>
        <v>.</v>
      </c>
      <c r="L6" s="53" t="str">
        <f t="shared" ref="L6:L22" ca="1" si="3">IF(H6=0,".",(G6/$H6))</f>
        <v>.</v>
      </c>
      <c r="M6" s="53" t="str">
        <f t="shared" ref="M6:M22" ca="1" si="4">IF(H6=0,".",(H6/$H6))</f>
        <v>.</v>
      </c>
    </row>
    <row r="7" spans="2:14" ht="27" customHeight="1" x14ac:dyDescent="0.25">
      <c r="B7" s="74" t="str">
        <f>'─&gt; Selection vulner. facteurs'!B9</f>
        <v>Zones transfrontalières adjacentes à des zones fréquemment touchées par le choléra ou à des PAMI identifiées dans le ou les pays voisins</v>
      </c>
      <c r="C7" s="61"/>
      <c r="E7" s="63">
        <f ca="1">COUNTIF(working_table[FV_03_prox_zone_cholera], "Valeur_manquante")</f>
        <v>0</v>
      </c>
      <c r="F7" s="50">
        <f ca="1">COUNTIF(working_table[FV_03_prox_zone_cholera], "Non")</f>
        <v>0</v>
      </c>
      <c r="G7" s="50">
        <f ca="1">COUNTIF(working_table[FV_03_prox_zone_cholera], "Oui")</f>
        <v>0</v>
      </c>
      <c r="H7" s="50">
        <f t="shared" ca="1" si="0"/>
        <v>0</v>
      </c>
      <c r="J7" s="59" t="str">
        <f t="shared" ca="1" si="1"/>
        <v>.</v>
      </c>
      <c r="K7" s="53" t="str">
        <f t="shared" ca="1" si="2"/>
        <v>.</v>
      </c>
      <c r="L7" s="53" t="str">
        <f t="shared" ca="1" si="3"/>
        <v>.</v>
      </c>
      <c r="M7" s="53" t="str">
        <f t="shared" ca="1" si="4"/>
        <v>.</v>
      </c>
    </row>
    <row r="8" spans="2:14" ht="27" customHeight="1" x14ac:dyDescent="0.25">
      <c r="B8" s="74" t="str">
        <f>'─&gt; Selection vulner. facteurs'!B10</f>
        <v>Situation le long des principales voies de communication avec des nœuds/carrefours en matière de transport</v>
      </c>
      <c r="C8" s="61"/>
      <c r="E8" s="63">
        <f ca="1">COUNTIF(working_table[FV_04_voies_com_maj], "Valeur_manquante")</f>
        <v>0</v>
      </c>
      <c r="F8" s="50">
        <f ca="1">COUNTIF(working_table[FV_04_voies_com_maj], "Non")</f>
        <v>0</v>
      </c>
      <c r="G8" s="50">
        <f ca="1">COUNTIF(working_table[FV_04_voies_com_maj], "Oui")</f>
        <v>0</v>
      </c>
      <c r="H8" s="50">
        <f t="shared" ca="1" si="0"/>
        <v>0</v>
      </c>
      <c r="J8" s="59" t="str">
        <f t="shared" ca="1" si="1"/>
        <v>.</v>
      </c>
      <c r="K8" s="53" t="str">
        <f t="shared" ca="1" si="2"/>
        <v>.</v>
      </c>
      <c r="L8" s="53" t="str">
        <f t="shared" ca="1" si="3"/>
        <v>.</v>
      </c>
      <c r="M8" s="53" t="str">
        <f t="shared" ca="1" si="4"/>
        <v>.</v>
      </c>
    </row>
    <row r="9" spans="2:14" ht="27" customHeight="1" x14ac:dyDescent="0.25">
      <c r="B9" s="74" t="str">
        <f>'─&gt; Selection vulner. facteurs'!B11</f>
        <v>Lieux de grands rassemblements de population</v>
      </c>
      <c r="C9" s="61"/>
      <c r="E9" s="63">
        <f ca="1">COUNTIF(working_table[FV_05_rassemb_popul], "Valeur_manquante")</f>
        <v>0</v>
      </c>
      <c r="F9" s="50">
        <f ca="1">COUNTIF(working_table[FV_05_rassemb_popul], "Non")</f>
        <v>0</v>
      </c>
      <c r="G9" s="50">
        <f ca="1">COUNTIF(working_table[FV_05_rassemb_popul], "Oui")</f>
        <v>0</v>
      </c>
      <c r="H9" s="50">
        <f t="shared" ca="1" si="0"/>
        <v>0</v>
      </c>
      <c r="J9" s="59" t="str">
        <f t="shared" ca="1" si="1"/>
        <v>.</v>
      </c>
      <c r="K9" s="53" t="str">
        <f t="shared" ca="1" si="2"/>
        <v>.</v>
      </c>
      <c r="L9" s="53" t="str">
        <f t="shared" ca="1" si="3"/>
        <v>.</v>
      </c>
      <c r="M9" s="53" t="str">
        <f t="shared" ca="1" si="4"/>
        <v>.</v>
      </c>
    </row>
    <row r="10" spans="2:14" ht="27" customHeight="1" x14ac:dyDescent="0.25">
      <c r="B10" s="74" t="str">
        <f>'─&gt; Selection vulner. facteurs'!B12</f>
        <v>Lieux à forte densité de population ou environnements surpeuplés</v>
      </c>
      <c r="C10" s="61"/>
      <c r="E10" s="63">
        <f ca="1">COUNTIF(working_table[FV_06_zone_surpeupl], "Valeur_manquante")</f>
        <v>0</v>
      </c>
      <c r="F10" s="50">
        <f ca="1">COUNTIF(working_table[FV_06_zone_surpeupl], "Non")</f>
        <v>0</v>
      </c>
      <c r="G10" s="50">
        <f ca="1">COUNTIF(working_table[FV_06_zone_surpeupl], "Oui")</f>
        <v>0</v>
      </c>
      <c r="H10" s="50">
        <f t="shared" ca="1" si="0"/>
        <v>0</v>
      </c>
      <c r="J10" s="59" t="str">
        <f t="shared" ca="1" si="1"/>
        <v>.</v>
      </c>
      <c r="K10" s="53" t="str">
        <f t="shared" ca="1" si="2"/>
        <v>.</v>
      </c>
      <c r="L10" s="53" t="str">
        <f t="shared" ca="1" si="3"/>
        <v>.</v>
      </c>
      <c r="M10" s="53" t="str">
        <f t="shared" ca="1" si="4"/>
        <v>.</v>
      </c>
    </row>
    <row r="11" spans="2:14" ht="27" customHeight="1" x14ac:dyDescent="0.25">
      <c r="B11" s="74" t="str">
        <f>'─&gt; Selection vulner. facteurs'!B13</f>
        <v>Populations à haut risque</v>
      </c>
      <c r="C11" s="61"/>
      <c r="E11" s="63">
        <f ca="1">COUNTIF(working_table[FV_07_pop_spec_risk], "Valeur_manquante")</f>
        <v>0</v>
      </c>
      <c r="F11" s="50">
        <f ca="1">COUNTIF(working_table[FV_07_pop_spec_risk], "Non")</f>
        <v>0</v>
      </c>
      <c r="G11" s="50">
        <f ca="1">COUNTIF(working_table[FV_07_pop_spec_risk], "Oui")</f>
        <v>0</v>
      </c>
      <c r="H11" s="50">
        <f t="shared" ca="1" si="0"/>
        <v>0</v>
      </c>
      <c r="J11" s="59" t="str">
        <f t="shared" ca="1" si="1"/>
        <v>.</v>
      </c>
      <c r="K11" s="53" t="str">
        <f t="shared" ca="1" si="2"/>
        <v>.</v>
      </c>
      <c r="L11" s="53" t="str">
        <f t="shared" ca="1" si="3"/>
        <v>.</v>
      </c>
      <c r="M11" s="53" t="str">
        <f t="shared" ca="1" si="4"/>
        <v>.</v>
      </c>
    </row>
    <row r="12" spans="2:14" ht="27" customHeight="1" x14ac:dyDescent="0.25">
      <c r="B12" s="74" t="str">
        <f>'─&gt; Selection vulner. facteurs'!B14</f>
        <v>Populations difficiles d’accès</v>
      </c>
      <c r="C12" s="61"/>
      <c r="E12" s="63">
        <f ca="1">COUNTIF(working_table[FV_08_pop_access_diff], "Valeur_manquante")</f>
        <v>0</v>
      </c>
      <c r="F12" s="50">
        <f ca="1">COUNTIF(working_table[FV_08_pop_access_diff], "Non")</f>
        <v>0</v>
      </c>
      <c r="G12" s="50">
        <f ca="1">COUNTIF(working_table[FV_08_pop_access_diff], "Oui")</f>
        <v>0</v>
      </c>
      <c r="H12" s="50">
        <f t="shared" ca="1" si="0"/>
        <v>0</v>
      </c>
      <c r="J12" s="59" t="str">
        <f t="shared" ca="1" si="1"/>
        <v>.</v>
      </c>
      <c r="K12" s="53" t="str">
        <f t="shared" ca="1" si="2"/>
        <v>.</v>
      </c>
      <c r="L12" s="53" t="str">
        <f t="shared" ca="1" si="3"/>
        <v>.</v>
      </c>
      <c r="M12" s="53" t="str">
        <f t="shared" ca="1" si="4"/>
        <v>.</v>
      </c>
    </row>
    <row r="13" spans="2:14" ht="27" customHeight="1" x14ac:dyDescent="0.25">
      <c r="B13" s="74" t="str">
        <f>'─&gt; Selection vulner. facteurs'!B15</f>
        <v>Population ayant reçu le vaccin oral contre le choléra (VOC) il y a plus de trois ans</v>
      </c>
      <c r="C13" s="61"/>
      <c r="E13" s="63">
        <f ca="1">COUNTIF(working_table[FV_09_vacc_sup_3_ans], "Valeur_manquante")</f>
        <v>0</v>
      </c>
      <c r="F13" s="50">
        <f ca="1">COUNTIF(working_table[FV_09_vacc_sup_3_ans], "Non")</f>
        <v>0</v>
      </c>
      <c r="G13" s="50">
        <f ca="1">COUNTIF(working_table[FV_09_vacc_sup_3_ans], "Oui")</f>
        <v>0</v>
      </c>
      <c r="H13" s="50">
        <f t="shared" ca="1" si="0"/>
        <v>0</v>
      </c>
      <c r="J13" s="59" t="str">
        <f t="shared" ca="1" si="1"/>
        <v>.</v>
      </c>
      <c r="K13" s="53" t="str">
        <f t="shared" ca="1" si="2"/>
        <v>.</v>
      </c>
      <c r="L13" s="53" t="str">
        <f t="shared" ca="1" si="3"/>
        <v>.</v>
      </c>
      <c r="M13" s="53" t="str">
        <f t="shared" ca="1" si="4"/>
        <v>.</v>
      </c>
    </row>
    <row r="14" spans="2:14" ht="27" customHeight="1" x14ac:dyDescent="0.25">
      <c r="B14" s="74" t="str">
        <f>'─&gt; Selection vulner. facteurs'!B16</f>
        <v>Risque élevé de conditions climatiques et météorologiques extrêmes</v>
      </c>
      <c r="C14" s="61"/>
      <c r="E14" s="63">
        <f ca="1">COUNTIF(working_table[FV_10_climate_ev], "Valeur_manquante")</f>
        <v>0</v>
      </c>
      <c r="F14" s="50">
        <f ca="1">COUNTIF(working_table[FV_10_climate_ev], "Non")</f>
        <v>0</v>
      </c>
      <c r="G14" s="50">
        <f ca="1">COUNTIF(working_table[FV_10_climate_ev], "Oui")</f>
        <v>0</v>
      </c>
      <c r="H14" s="50">
        <f t="shared" ca="1" si="0"/>
        <v>0</v>
      </c>
      <c r="J14" s="59" t="str">
        <f t="shared" ca="1" si="1"/>
        <v>.</v>
      </c>
      <c r="K14" s="53" t="str">
        <f t="shared" ca="1" si="2"/>
        <v>.</v>
      </c>
      <c r="L14" s="53" t="str">
        <f t="shared" ca="1" si="3"/>
        <v>.</v>
      </c>
      <c r="M14" s="53" t="str">
        <f t="shared" ca="1" si="4"/>
        <v>.</v>
      </c>
    </row>
    <row r="15" spans="2:14" ht="27" customHeight="1" x14ac:dyDescent="0.25">
      <c r="B15" s="74" t="str">
        <f>'─&gt; Selection vulner. facteurs'!B17</f>
        <v>Urgence humanitaire complexe</v>
      </c>
      <c r="C15" s="61"/>
      <c r="E15" s="63">
        <f ca="1">COUNTIF(working_table[FV_11_urgence_hum_comp], "Valeur_manquante")</f>
        <v>0</v>
      </c>
      <c r="F15" s="50">
        <f ca="1">COUNTIF(working_table[FV_11_urgence_hum_comp], "Non")</f>
        <v>0</v>
      </c>
      <c r="G15" s="50">
        <f ca="1">COUNTIF(working_table[FV_11_urgence_hum_comp], "Oui")</f>
        <v>0</v>
      </c>
      <c r="H15" s="50">
        <f t="shared" ca="1" si="0"/>
        <v>0</v>
      </c>
      <c r="J15" s="59" t="str">
        <f t="shared" ca="1" si="1"/>
        <v>.</v>
      </c>
      <c r="K15" s="53" t="str">
        <f t="shared" ca="1" si="2"/>
        <v>.</v>
      </c>
      <c r="L15" s="53" t="str">
        <f t="shared" ca="1" si="3"/>
        <v>.</v>
      </c>
      <c r="M15" s="53" t="str">
        <f t="shared" ca="1" si="4"/>
        <v>.</v>
      </c>
    </row>
    <row r="16" spans="2:14" ht="27" customHeight="1" x14ac:dyDescent="0.25">
      <c r="B16" s="74" t="str">
        <f>'─&gt; Selection vulner. facteurs'!B18</f>
        <v>Eau non améliorée</v>
      </c>
      <c r="C16" s="61"/>
      <c r="E16" s="63">
        <f ca="1">COUNTIF(working_table[FV_12_EHA_ind_eau], "Valeur_manquante")</f>
        <v>0</v>
      </c>
      <c r="F16" s="50">
        <f ca="1">COUNTIF(working_table[FV_12_EHA_ind_eau], "Non")</f>
        <v>0</v>
      </c>
      <c r="G16" s="50">
        <f ca="1">COUNTIF(working_table[FV_12_EHA_ind_eau], "Oui")</f>
        <v>0</v>
      </c>
      <c r="H16" s="50">
        <f t="shared" ca="1" si="0"/>
        <v>0</v>
      </c>
      <c r="J16" s="59" t="str">
        <f t="shared" ca="1" si="1"/>
        <v>.</v>
      </c>
      <c r="K16" s="53" t="str">
        <f t="shared" ca="1" si="2"/>
        <v>.</v>
      </c>
      <c r="L16" s="53" t="str">
        <f t="shared" ca="1" si="3"/>
        <v>.</v>
      </c>
      <c r="M16" s="53" t="str">
        <f t="shared" ca="1" si="4"/>
        <v>.</v>
      </c>
    </row>
    <row r="17" spans="2:13" ht="27" customHeight="1" x14ac:dyDescent="0.25">
      <c r="B17" s="74" t="str">
        <f>'─&gt; Selection vulner. facteurs'!B19</f>
        <v xml:space="preserve">Assainissement non amélioré </v>
      </c>
      <c r="C17" s="61"/>
      <c r="E17" s="63">
        <f ca="1">COUNTIF(working_table[FV_13_EHA_ind_assain], "Valeur_manquante")</f>
        <v>0</v>
      </c>
      <c r="F17" s="50">
        <f ca="1">COUNTIF(working_table[FV_13_EHA_ind_assain], "Non")</f>
        <v>0</v>
      </c>
      <c r="G17" s="50">
        <f ca="1">COUNTIF(working_table[FV_13_EHA_ind_assain], "Oui")</f>
        <v>0</v>
      </c>
      <c r="H17" s="50">
        <f t="shared" ca="1" si="0"/>
        <v>0</v>
      </c>
      <c r="J17" s="59" t="str">
        <f t="shared" ca="1" si="1"/>
        <v>.</v>
      </c>
      <c r="K17" s="53" t="str">
        <f t="shared" ca="1" si="2"/>
        <v>.</v>
      </c>
      <c r="L17" s="53" t="str">
        <f t="shared" ca="1" si="3"/>
        <v>.</v>
      </c>
      <c r="M17" s="53" t="str">
        <f t="shared" ca="1" si="4"/>
        <v>.</v>
      </c>
    </row>
    <row r="18" spans="2:13" ht="27" customHeight="1" x14ac:dyDescent="0.25">
      <c r="B18" s="74" t="str">
        <f>'─&gt; Selection vulner. facteurs'!B20</f>
        <v>Accès limité à l’hygiène</v>
      </c>
      <c r="C18" s="61"/>
      <c r="E18" s="63">
        <f ca="1">COUNTIF(working_table[FV_14_EHA_ind_hygiene], "Valeur_manquante")</f>
        <v>0</v>
      </c>
      <c r="F18" s="50">
        <f ca="1">COUNTIF(working_table[FV_14_EHA_ind_hygiene], "Non")</f>
        <v>0</v>
      </c>
      <c r="G18" s="50">
        <f ca="1">COUNTIF(working_table[FV_14_EHA_ind_hygiene], "Oui")</f>
        <v>0</v>
      </c>
      <c r="H18" s="50">
        <f t="shared" ca="1" si="0"/>
        <v>0</v>
      </c>
      <c r="J18" s="59" t="str">
        <f t="shared" ca="1" si="1"/>
        <v>.</v>
      </c>
      <c r="K18" s="53" t="str">
        <f t="shared" ca="1" si="2"/>
        <v>.</v>
      </c>
      <c r="L18" s="53" t="str">
        <f t="shared" ca="1" si="3"/>
        <v>.</v>
      </c>
      <c r="M18" s="53" t="str">
        <f t="shared" ca="1" si="4"/>
        <v>.</v>
      </c>
    </row>
    <row r="19" spans="2:13" ht="27" customHeight="1" x14ac:dyDescent="0.25">
      <c r="B19" s="74" t="str">
        <f>'─&gt; Selection vulner. facteurs'!B21</f>
        <v>Facteur de vulnérabilité supplémentaire au choléra spécifique au pays (1)</v>
      </c>
      <c r="C19" s="61"/>
      <c r="E19" s="63">
        <f ca="1">COUNTIF(working_table[FV_15_facteur_add_1], "Valeur_manquante")</f>
        <v>0</v>
      </c>
      <c r="F19" s="50">
        <f ca="1">COUNTIF(working_table[FV_15_facteur_add_1], "Non")</f>
        <v>0</v>
      </c>
      <c r="G19" s="50">
        <f ca="1">COUNTIF(working_table[FV_15_facteur_add_1], "Oui")</f>
        <v>0</v>
      </c>
      <c r="H19" s="50">
        <f t="shared" ca="1" si="0"/>
        <v>0</v>
      </c>
      <c r="J19" s="59" t="str">
        <f t="shared" ca="1" si="1"/>
        <v>.</v>
      </c>
      <c r="K19" s="53" t="str">
        <f t="shared" ca="1" si="2"/>
        <v>.</v>
      </c>
      <c r="L19" s="53" t="str">
        <f t="shared" ca="1" si="3"/>
        <v>.</v>
      </c>
      <c r="M19" s="53" t="str">
        <f t="shared" ca="1" si="4"/>
        <v>.</v>
      </c>
    </row>
    <row r="20" spans="2:13" ht="27" customHeight="1" x14ac:dyDescent="0.25">
      <c r="B20" s="74" t="str">
        <f>'─&gt; Selection vulner. facteurs'!B22</f>
        <v>Facteur de vulnérabilité supplémentaire au choléra spécifique au pays (2)</v>
      </c>
      <c r="C20" s="61"/>
      <c r="E20" s="63">
        <f ca="1">COUNTIF(working_table[FV_16_facteur_add_2], "Valeur_manquante")</f>
        <v>0</v>
      </c>
      <c r="F20" s="50">
        <f ca="1">COUNTIF(working_table[FV_16_facteur_add_2], "Non")</f>
        <v>0</v>
      </c>
      <c r="G20" s="50">
        <f ca="1">COUNTIF(working_table[FV_16_facteur_add_2], "Oui")</f>
        <v>0</v>
      </c>
      <c r="H20" s="50">
        <f t="shared" ca="1" si="0"/>
        <v>0</v>
      </c>
      <c r="J20" s="59" t="str">
        <f t="shared" ca="1" si="1"/>
        <v>.</v>
      </c>
      <c r="K20" s="53" t="str">
        <f t="shared" ca="1" si="2"/>
        <v>.</v>
      </c>
      <c r="L20" s="53" t="str">
        <f t="shared" ca="1" si="3"/>
        <v>.</v>
      </c>
      <c r="M20" s="53" t="str">
        <f t="shared" ca="1" si="4"/>
        <v>.</v>
      </c>
    </row>
    <row r="21" spans="2:13" ht="27" customHeight="1" x14ac:dyDescent="0.25">
      <c r="B21" s="74" t="str">
        <f>'─&gt; Selection vulner. facteurs'!B23</f>
        <v>Facteur de vulnérabilité supplémentaire au choléra spécifique au pays (3)</v>
      </c>
      <c r="C21" s="61"/>
      <c r="E21" s="64">
        <f ca="1">COUNTIF(working_table[FV_17_facteur_add_3], "Valeur_manquante")</f>
        <v>0</v>
      </c>
      <c r="F21" s="57">
        <f ca="1">COUNTIF(working_table[FV_17_facteur_add_3], "Non")</f>
        <v>0</v>
      </c>
      <c r="G21" s="57">
        <f ca="1">COUNTIF(working_table[FV_17_facteur_add_3], "Oui")</f>
        <v>0</v>
      </c>
      <c r="H21" s="57">
        <f t="shared" ca="1" si="0"/>
        <v>0</v>
      </c>
      <c r="J21" s="59" t="str">
        <f t="shared" ca="1" si="1"/>
        <v>.</v>
      </c>
      <c r="K21" s="53" t="str">
        <f t="shared" ca="1" si="2"/>
        <v>.</v>
      </c>
      <c r="L21" s="53" t="str">
        <f t="shared" ca="1" si="3"/>
        <v>.</v>
      </c>
      <c r="M21" s="53" t="str">
        <f t="shared" ca="1" si="4"/>
        <v>.</v>
      </c>
    </row>
    <row r="22" spans="2:13" ht="27" customHeight="1" thickBot="1" x14ac:dyDescent="0.3">
      <c r="B22" s="75" t="str">
        <f>'─&gt; Selection vulner. facteurs'!B24</f>
        <v>Facteur de vulnérabilité supplémentaire au choléra spécifique au pays (4)</v>
      </c>
      <c r="C22" s="62"/>
      <c r="E22" s="65">
        <f ca="1">COUNTIF(working_table[FV_18_facteur_add_4], "Valeur_manquante")</f>
        <v>0</v>
      </c>
      <c r="F22" s="58">
        <f ca="1">COUNTIF(working_table[FV_18_facteur_add_4], "Non")</f>
        <v>0</v>
      </c>
      <c r="G22" s="58">
        <f ca="1">COUNTIF(working_table[FV_18_facteur_add_4], "Oui")</f>
        <v>0</v>
      </c>
      <c r="H22" s="58">
        <f t="shared" ca="1" si="0"/>
        <v>0</v>
      </c>
      <c r="J22" s="60" t="str">
        <f t="shared" ca="1" si="1"/>
        <v>.</v>
      </c>
      <c r="K22" s="56" t="str">
        <f t="shared" ca="1" si="2"/>
        <v>.</v>
      </c>
      <c r="L22" s="56" t="str">
        <f t="shared" ca="1" si="3"/>
        <v>.</v>
      </c>
      <c r="M22" s="56" t="str">
        <f t="shared" ca="1" si="4"/>
        <v>.</v>
      </c>
    </row>
  </sheetData>
  <sheetProtection algorithmName="SHA-512" hashValue="n5vabT6Cf1WgM58H5yNqR1OYgjv/kV3Cfoiw49VvAtbRNUOuktbOfj0l32mt86xWLVRo0h3i7clxMl3BLanh4A==" saltValue="VucDRJT73aBVGEjQrBak0A==" spinCount="100000" sheet="1" objects="1" scenarios="1" formatCells="0"/>
  <mergeCells count="2">
    <mergeCell ref="E2:H2"/>
    <mergeCell ref="J2:M2"/>
  </mergeCells>
  <conditionalFormatting sqref="E5:E22">
    <cfRule type="cellIs" dxfId="23" priority="22" operator="greaterThan">
      <formula>0</formula>
    </cfRule>
    <cfRule type="dataBar" priority="23">
      <dataBar>
        <cfvo type="min"/>
        <cfvo type="max"/>
        <color rgb="FFFB8072"/>
      </dataBar>
      <extLst>
        <ext xmlns:x14="http://schemas.microsoft.com/office/spreadsheetml/2009/9/main" uri="{B025F937-C7B1-47D3-B67F-A62EFF666E3E}">
          <x14:id>{E99C776E-3F60-4FD2-A116-FC35B176AE1A}</x14:id>
        </ext>
      </extLst>
    </cfRule>
  </conditionalFormatting>
  <conditionalFormatting sqref="J5">
    <cfRule type="expression" dxfId="22" priority="20">
      <formula>$E$5&gt;0</formula>
    </cfRule>
  </conditionalFormatting>
  <conditionalFormatting sqref="J6">
    <cfRule type="expression" dxfId="21" priority="19">
      <formula>$E$6&gt;0</formula>
    </cfRule>
  </conditionalFormatting>
  <conditionalFormatting sqref="J7">
    <cfRule type="expression" dxfId="20" priority="18">
      <formula>$E$7&gt;0</formula>
    </cfRule>
  </conditionalFormatting>
  <conditionalFormatting sqref="J8">
    <cfRule type="expression" dxfId="19" priority="17">
      <formula>$E$8&gt;0</formula>
    </cfRule>
  </conditionalFormatting>
  <conditionalFormatting sqref="J9">
    <cfRule type="expression" dxfId="18" priority="16">
      <formula>$E$9&gt;0</formula>
    </cfRule>
  </conditionalFormatting>
  <conditionalFormatting sqref="J10">
    <cfRule type="expression" dxfId="17" priority="15">
      <formula>$E$10&gt;0</formula>
    </cfRule>
  </conditionalFormatting>
  <conditionalFormatting sqref="J11">
    <cfRule type="expression" dxfId="16" priority="12">
      <formula>$E$11&gt;0</formula>
    </cfRule>
  </conditionalFormatting>
  <conditionalFormatting sqref="J12">
    <cfRule type="expression" dxfId="15" priority="11">
      <formula>$E$12&gt;0</formula>
    </cfRule>
  </conditionalFormatting>
  <conditionalFormatting sqref="J13">
    <cfRule type="expression" dxfId="14" priority="10">
      <formula>$E$13&gt;0</formula>
    </cfRule>
  </conditionalFormatting>
  <conditionalFormatting sqref="J14">
    <cfRule type="expression" dxfId="13" priority="9">
      <formula>$E$14&gt;0</formula>
    </cfRule>
  </conditionalFormatting>
  <conditionalFormatting sqref="J15">
    <cfRule type="expression" dxfId="12" priority="8">
      <formula>$E$15&gt;0</formula>
    </cfRule>
  </conditionalFormatting>
  <conditionalFormatting sqref="J16">
    <cfRule type="expression" dxfId="11" priority="7">
      <formula>$E$16&gt;0</formula>
    </cfRule>
  </conditionalFormatting>
  <conditionalFormatting sqref="J17">
    <cfRule type="expression" dxfId="10" priority="6">
      <formula>$E$17&gt;0</formula>
    </cfRule>
  </conditionalFormatting>
  <conditionalFormatting sqref="J18">
    <cfRule type="expression" dxfId="9" priority="5">
      <formula>$E$18&gt;0</formula>
    </cfRule>
  </conditionalFormatting>
  <conditionalFormatting sqref="J19">
    <cfRule type="expression" dxfId="8" priority="4">
      <formula>$E$19&gt;0</formula>
    </cfRule>
  </conditionalFormatting>
  <conditionalFormatting sqref="J20">
    <cfRule type="expression" dxfId="7" priority="3">
      <formula>$E$20&gt;0</formula>
    </cfRule>
  </conditionalFormatting>
  <conditionalFormatting sqref="J21">
    <cfRule type="expression" dxfId="6" priority="2">
      <formula>$E$21&gt;0</formula>
    </cfRule>
  </conditionalFormatting>
  <conditionalFormatting sqref="J22">
    <cfRule type="expression" dxfId="5" priority="1">
      <formula>$E$22&gt;0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99C776E-3F60-4FD2-A116-FC35B176AE1A}">
            <x14:dataBar minLength="0" maxLength="100" gradient="0">
              <x14:cfvo type="autoMin"/>
              <x14:cfvo type="autoMax"/>
              <x14:negativeFillColor rgb="FFFF0000"/>
              <x14:axisColor rgb="FF000000"/>
            </x14:dataBar>
          </x14:cfRule>
          <xm:sqref>E5:E22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E0DF9-5EEC-43F3-A2E2-16EF128AB23A}">
  <sheetPr>
    <tabColor rgb="FF009999"/>
  </sheetPr>
  <dimension ref="A1:X2"/>
  <sheetViews>
    <sheetView showGridLines="0" tabSelected="1" topLeftCell="P1" zoomScale="75" zoomScaleNormal="75" workbookViewId="0">
      <selection activeCell="AG1" sqref="AG1"/>
    </sheetView>
  </sheetViews>
  <sheetFormatPr defaultColWidth="11.140625" defaultRowHeight="15" x14ac:dyDescent="0.25"/>
  <cols>
    <col min="1" max="24" width="13.7109375" bestFit="1" customWidth="1"/>
  </cols>
  <sheetData>
    <row r="1" spans="1:24" s="52" customFormat="1" ht="187.5" customHeight="1" x14ac:dyDescent="0.25">
      <c r="A1" s="45" t="s">
        <v>87</v>
      </c>
      <c r="B1" s="45" t="s">
        <v>88</v>
      </c>
      <c r="C1" s="45" t="s">
        <v>89</v>
      </c>
      <c r="D1" s="45" t="s">
        <v>90</v>
      </c>
      <c r="E1" s="46" t="s">
        <v>42</v>
      </c>
      <c r="F1" s="47" t="s">
        <v>46</v>
      </c>
      <c r="G1" s="47" t="s">
        <v>49</v>
      </c>
      <c r="H1" s="47" t="s">
        <v>50</v>
      </c>
      <c r="I1" s="47" t="s">
        <v>52</v>
      </c>
      <c r="J1" s="47" t="s">
        <v>55</v>
      </c>
      <c r="K1" s="47" t="s">
        <v>58</v>
      </c>
      <c r="L1" s="47" t="s">
        <v>61</v>
      </c>
      <c r="M1" s="47" t="s">
        <v>63</v>
      </c>
      <c r="N1" s="47" t="s">
        <v>66</v>
      </c>
      <c r="O1" s="47" t="s">
        <v>68</v>
      </c>
      <c r="P1" s="47" t="s">
        <v>71</v>
      </c>
      <c r="Q1" s="47" t="s">
        <v>73</v>
      </c>
      <c r="R1" s="47" t="s">
        <v>76</v>
      </c>
      <c r="S1" s="47" t="s">
        <v>79</v>
      </c>
      <c r="T1" s="47" t="s">
        <v>91</v>
      </c>
      <c r="U1" s="47" t="s">
        <v>92</v>
      </c>
      <c r="V1" s="47" t="s">
        <v>93</v>
      </c>
      <c r="W1" s="45" t="s">
        <v>94</v>
      </c>
      <c r="X1" s="48" t="s">
        <v>95</v>
      </c>
    </row>
    <row r="2" spans="1:24" x14ac:dyDescent="0.25">
      <c r="A2" s="78"/>
      <c r="B2" s="78"/>
      <c r="C2" s="78"/>
      <c r="D2" s="78"/>
      <c r="E2" s="79"/>
      <c r="F2" s="79"/>
      <c r="G2" s="79"/>
      <c r="H2" s="79"/>
      <c r="I2" s="79"/>
      <c r="J2" s="79"/>
      <c r="K2" s="79"/>
      <c r="L2" s="79"/>
      <c r="M2" s="79"/>
      <c r="N2" s="79"/>
      <c r="O2" s="79"/>
      <c r="P2" s="79"/>
      <c r="Q2" s="79"/>
      <c r="R2" s="79"/>
      <c r="S2" s="79"/>
      <c r="T2" s="79"/>
      <c r="U2" s="79"/>
      <c r="V2" s="79"/>
      <c r="W2" s="49">
        <v>0</v>
      </c>
      <c r="X2" s="44"/>
    </row>
  </sheetData>
  <conditionalFormatting sqref="E2:V2">
    <cfRule type="containsText" dxfId="4" priority="13" operator="containsText" text="Exclu">
      <formula>NOT(ISERROR(SEARCH("Exclu",E2)))</formula>
    </cfRule>
    <cfRule type="containsText" dxfId="3" priority="14" operator="containsText" text="Valeur_manquante">
      <formula>NOT(ISERROR(SEARCH("Valeur_manquante",E2)))</formula>
    </cfRule>
    <cfRule type="containsText" dxfId="2" priority="15" operator="containsText" text="Oui">
      <formula>NOT(ISERROR(SEARCH("Oui",E2)))</formula>
    </cfRule>
  </conditionalFormatting>
  <conditionalFormatting sqref="W2">
    <cfRule type="cellIs" dxfId="1" priority="3" operator="greaterThan">
      <formula>0</formula>
    </cfRule>
    <cfRule type="iconSet" priority="4">
      <iconSet iconSet="5Quarters">
        <cfvo type="percent" val="0"/>
        <cfvo type="percent" val="20"/>
        <cfvo type="percent" val="40"/>
        <cfvo type="percent" val="60"/>
        <cfvo type="percent" val="80"/>
      </iconSet>
    </cfRule>
  </conditionalFormatting>
  <conditionalFormatting sqref="X2">
    <cfRule type="containsText" dxfId="0" priority="69" operator="containsText" text="PAMI">
      <formula>NOT(ISERROR(SEARCH("PAMI",X2)))</formula>
    </cfRule>
    <cfRule type="colorScale" priority="70">
      <colorScale>
        <cfvo type="min"/>
        <cfvo type="percentile" val="50"/>
        <cfvo type="max"/>
        <color rgb="FF0070C0"/>
        <color rgb="FFFFEB84"/>
        <color rgb="FFF8696B"/>
      </colorScale>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22B4-A08A-492D-8051-CB54BC76227A}">
  <sheetPr codeName="Sheet7">
    <tabColor theme="2" tint="-9.9978637043366805E-2"/>
  </sheetPr>
  <dimension ref="A1:AC136"/>
  <sheetViews>
    <sheetView workbookViewId="0">
      <selection activeCell="G13" sqref="G13"/>
    </sheetView>
  </sheetViews>
  <sheetFormatPr defaultColWidth="9.140625" defaultRowHeight="15" x14ac:dyDescent="0.25"/>
  <cols>
    <col min="1" max="1" width="27.28515625" style="4" bestFit="1" customWidth="1"/>
    <col min="2" max="2" width="24.42578125" style="4" customWidth="1"/>
    <col min="3" max="3" width="43" style="4" bestFit="1" customWidth="1"/>
    <col min="4" max="4" width="6" style="4" customWidth="1"/>
    <col min="5" max="5" width="41.140625" style="4" bestFit="1" customWidth="1"/>
    <col min="6" max="6" width="6" style="4" customWidth="1"/>
    <col min="7" max="7" width="34.85546875" style="4" customWidth="1"/>
    <col min="8" max="8" width="6" style="4" customWidth="1"/>
    <col min="9" max="9" width="5.5703125" style="4" customWidth="1"/>
    <col min="10" max="10" width="22.85546875" style="4" bestFit="1" customWidth="1"/>
    <col min="11" max="11" width="11.85546875" style="4" bestFit="1" customWidth="1"/>
    <col min="12" max="12" width="17.7109375" style="4" bestFit="1" customWidth="1"/>
    <col min="13" max="13" width="11.5703125" style="4" bestFit="1" customWidth="1"/>
    <col min="14" max="14" width="17.42578125" style="4" bestFit="1" customWidth="1"/>
    <col min="15" max="15" width="13.5703125" style="4" bestFit="1" customWidth="1"/>
    <col min="16" max="16" width="19.5703125" style="4" bestFit="1" customWidth="1"/>
    <col min="17" max="17" width="25.140625" style="4" bestFit="1" customWidth="1"/>
    <col min="18" max="18" width="19.7109375" style="4" bestFit="1" customWidth="1"/>
    <col min="19" max="19" width="21" style="4" bestFit="1" customWidth="1"/>
    <col min="20" max="20" width="23.42578125" style="4" bestFit="1" customWidth="1"/>
    <col min="21" max="21" width="16" style="4" bestFit="1" customWidth="1"/>
    <col min="22" max="22" width="20.42578125" style="4" bestFit="1" customWidth="1"/>
    <col min="23" max="23" width="21.28515625" style="4" bestFit="1" customWidth="1"/>
    <col min="24" max="24" width="27.42578125" style="4" bestFit="1" customWidth="1"/>
    <col min="25" max="25" width="20.85546875" style="4" bestFit="1" customWidth="1"/>
    <col min="26" max="26" width="27.5703125" style="4" bestFit="1" customWidth="1"/>
    <col min="27" max="27" width="23.42578125" style="4" bestFit="1" customWidth="1"/>
    <col min="28" max="28" width="29.5703125" style="4" bestFit="1" customWidth="1"/>
    <col min="29" max="29" width="28.28515625" style="4" bestFit="1" customWidth="1"/>
    <col min="30" max="16384" width="9.140625" style="4"/>
  </cols>
  <sheetData>
    <row r="1" spans="1:8" x14ac:dyDescent="0.25">
      <c r="A1" s="7"/>
      <c r="B1" s="7"/>
      <c r="C1" s="7"/>
      <c r="D1" s="7"/>
    </row>
    <row r="2" spans="1:8" x14ac:dyDescent="0.25">
      <c r="A2" s="189" t="s">
        <v>114</v>
      </c>
      <c r="B2" s="190"/>
      <c r="C2" s="191"/>
      <c r="D2" s="30"/>
      <c r="E2" s="4" t="s">
        <v>115</v>
      </c>
    </row>
    <row r="3" spans="1:8" x14ac:dyDescent="0.25">
      <c r="A3" s="7"/>
      <c r="B3" s="7"/>
      <c r="C3" s="7"/>
      <c r="D3" s="7"/>
    </row>
    <row r="4" spans="1:8" ht="75" customHeight="1" x14ac:dyDescent="0.25">
      <c r="A4" s="33" t="s">
        <v>116</v>
      </c>
      <c r="B4" s="33" t="s">
        <v>117</v>
      </c>
      <c r="C4" s="33" t="s">
        <v>118</v>
      </c>
      <c r="D4" s="34"/>
      <c r="E4" s="33" t="s">
        <v>119</v>
      </c>
      <c r="F4" s="34"/>
      <c r="G4" s="33" t="s">
        <v>120</v>
      </c>
      <c r="H4" s="34"/>
    </row>
    <row r="5" spans="1:8" x14ac:dyDescent="0.25">
      <c r="A5" s="32" t="s">
        <v>87</v>
      </c>
      <c r="B5" s="32" t="s">
        <v>121</v>
      </c>
      <c r="C5" s="32" t="s">
        <v>122</v>
      </c>
      <c r="D5" s="5"/>
      <c r="E5" s="27" t="s">
        <v>123</v>
      </c>
      <c r="F5" s="5"/>
      <c r="G5" s="31" t="s">
        <v>47</v>
      </c>
    </row>
    <row r="6" spans="1:8" x14ac:dyDescent="0.25">
      <c r="A6" s="32" t="s">
        <v>88</v>
      </c>
      <c r="B6" s="32" t="s">
        <v>124</v>
      </c>
      <c r="C6" s="32" t="s">
        <v>125</v>
      </c>
      <c r="D6" s="5"/>
      <c r="E6" s="27" t="s">
        <v>126</v>
      </c>
      <c r="F6" s="5"/>
      <c r="G6" s="31" t="s">
        <v>80</v>
      </c>
    </row>
    <row r="7" spans="1:8" x14ac:dyDescent="0.25">
      <c r="A7" s="32" t="s">
        <v>89</v>
      </c>
      <c r="B7" s="32" t="s">
        <v>127</v>
      </c>
      <c r="C7" s="32" t="s">
        <v>128</v>
      </c>
      <c r="D7" s="5"/>
      <c r="F7" s="5"/>
    </row>
    <row r="8" spans="1:8" x14ac:dyDescent="0.25">
      <c r="A8" s="32" t="s">
        <v>90</v>
      </c>
      <c r="B8" s="32" t="s">
        <v>129</v>
      </c>
      <c r="C8" s="32" t="s">
        <v>130</v>
      </c>
      <c r="D8" s="5"/>
      <c r="F8" s="5"/>
    </row>
    <row r="9" spans="1:8" x14ac:dyDescent="0.25">
      <c r="A9" s="32" t="s">
        <v>42</v>
      </c>
      <c r="B9" s="32" t="s">
        <v>131</v>
      </c>
      <c r="C9" s="32" t="s">
        <v>132</v>
      </c>
      <c r="D9" s="5"/>
      <c r="F9" s="5"/>
    </row>
    <row r="10" spans="1:8" x14ac:dyDescent="0.25">
      <c r="A10" s="32" t="s">
        <v>46</v>
      </c>
      <c r="B10" s="32" t="s">
        <v>133</v>
      </c>
      <c r="C10" s="32" t="s">
        <v>134</v>
      </c>
      <c r="D10" s="5"/>
      <c r="F10" s="5"/>
    </row>
    <row r="11" spans="1:8" x14ac:dyDescent="0.25">
      <c r="A11" s="32" t="s">
        <v>49</v>
      </c>
      <c r="B11" s="32" t="s">
        <v>135</v>
      </c>
      <c r="C11" s="32" t="s">
        <v>136</v>
      </c>
      <c r="D11" s="5"/>
      <c r="F11" s="5"/>
    </row>
    <row r="12" spans="1:8" x14ac:dyDescent="0.25">
      <c r="A12" s="32" t="s">
        <v>50</v>
      </c>
      <c r="B12" s="32" t="s">
        <v>137</v>
      </c>
      <c r="C12" s="32" t="s">
        <v>138</v>
      </c>
      <c r="D12" s="5"/>
      <c r="F12" s="5"/>
    </row>
    <row r="13" spans="1:8" x14ac:dyDescent="0.25">
      <c r="A13" s="32" t="s">
        <v>52</v>
      </c>
      <c r="B13" s="32" t="s">
        <v>139</v>
      </c>
      <c r="C13" s="32" t="s">
        <v>140</v>
      </c>
      <c r="D13" s="5"/>
      <c r="F13" s="5"/>
    </row>
    <row r="14" spans="1:8" x14ac:dyDescent="0.25">
      <c r="A14" s="32" t="s">
        <v>55</v>
      </c>
      <c r="B14" s="32" t="s">
        <v>141</v>
      </c>
      <c r="C14" s="32" t="s">
        <v>142</v>
      </c>
      <c r="D14" s="5"/>
      <c r="F14" s="5"/>
    </row>
    <row r="15" spans="1:8" x14ac:dyDescent="0.25">
      <c r="A15" s="32" t="s">
        <v>58</v>
      </c>
      <c r="B15" s="32" t="s">
        <v>143</v>
      </c>
      <c r="C15" s="32" t="s">
        <v>144</v>
      </c>
      <c r="D15" s="5"/>
      <c r="F15" s="5"/>
    </row>
    <row r="16" spans="1:8" x14ac:dyDescent="0.25">
      <c r="A16" s="32" t="s">
        <v>61</v>
      </c>
      <c r="B16" s="32" t="s">
        <v>145</v>
      </c>
      <c r="C16" s="32" t="s">
        <v>146</v>
      </c>
      <c r="D16" s="5"/>
      <c r="F16" s="5"/>
    </row>
    <row r="17" spans="1:7" x14ac:dyDescent="0.25">
      <c r="A17" s="32" t="s">
        <v>63</v>
      </c>
      <c r="B17" s="32" t="s">
        <v>147</v>
      </c>
      <c r="C17" s="32" t="s">
        <v>148</v>
      </c>
      <c r="D17" s="5"/>
      <c r="F17" s="5"/>
    </row>
    <row r="18" spans="1:7" x14ac:dyDescent="0.25">
      <c r="A18" s="32" t="s">
        <v>66</v>
      </c>
      <c r="B18" s="32" t="s">
        <v>149</v>
      </c>
      <c r="C18" s="32" t="s">
        <v>150</v>
      </c>
      <c r="D18" s="5"/>
      <c r="F18" s="5"/>
    </row>
    <row r="19" spans="1:7" x14ac:dyDescent="0.25">
      <c r="A19" s="32" t="s">
        <v>68</v>
      </c>
      <c r="B19" s="32" t="s">
        <v>151</v>
      </c>
      <c r="C19" s="32" t="s">
        <v>152</v>
      </c>
      <c r="D19" s="5"/>
      <c r="F19" s="5"/>
    </row>
    <row r="20" spans="1:7" x14ac:dyDescent="0.25">
      <c r="A20" s="32" t="s">
        <v>71</v>
      </c>
      <c r="B20" s="32" t="s">
        <v>153</v>
      </c>
      <c r="C20" s="32" t="s">
        <v>154</v>
      </c>
      <c r="D20" s="5"/>
      <c r="F20" s="5"/>
    </row>
    <row r="21" spans="1:7" x14ac:dyDescent="0.25">
      <c r="A21" s="32" t="s">
        <v>73</v>
      </c>
      <c r="B21" s="32" t="s">
        <v>155</v>
      </c>
      <c r="C21" s="32" t="s">
        <v>156</v>
      </c>
    </row>
    <row r="22" spans="1:7" x14ac:dyDescent="0.25">
      <c r="A22" s="32" t="s">
        <v>76</v>
      </c>
      <c r="B22" s="32" t="s">
        <v>157</v>
      </c>
      <c r="C22" s="32" t="s">
        <v>158</v>
      </c>
    </row>
    <row r="23" spans="1:7" x14ac:dyDescent="0.25">
      <c r="A23" s="32" t="s">
        <v>79</v>
      </c>
      <c r="B23" s="32" t="s">
        <v>159</v>
      </c>
      <c r="C23" s="32" t="s">
        <v>160</v>
      </c>
    </row>
    <row r="24" spans="1:7" x14ac:dyDescent="0.25">
      <c r="A24" s="32" t="s">
        <v>91</v>
      </c>
      <c r="B24" s="32" t="s">
        <v>161</v>
      </c>
      <c r="C24" s="32" t="s">
        <v>162</v>
      </c>
    </row>
    <row r="25" spans="1:7" x14ac:dyDescent="0.25">
      <c r="A25" s="32" t="s">
        <v>92</v>
      </c>
      <c r="B25" s="32" t="s">
        <v>163</v>
      </c>
      <c r="C25" s="32" t="s">
        <v>164</v>
      </c>
      <c r="G25" s="4" t="s">
        <v>165</v>
      </c>
    </row>
    <row r="26" spans="1:7" x14ac:dyDescent="0.25">
      <c r="A26" s="32" t="s">
        <v>93</v>
      </c>
      <c r="B26" s="32" t="s">
        <v>166</v>
      </c>
      <c r="C26" s="32" t="s">
        <v>167</v>
      </c>
    </row>
    <row r="36" spans="3:29" x14ac:dyDescent="0.25">
      <c r="E36" s="6"/>
      <c r="F36" s="6"/>
      <c r="G36" s="6"/>
      <c r="H36" s="6"/>
      <c r="I36" s="6"/>
      <c r="J36" s="6"/>
      <c r="K36" s="6"/>
      <c r="L36" s="6"/>
      <c r="M36" s="6"/>
      <c r="N36" s="6"/>
      <c r="O36" s="6"/>
      <c r="P36" s="6"/>
      <c r="Q36" s="6"/>
      <c r="R36" s="6"/>
      <c r="S36" s="6"/>
      <c r="T36" s="6"/>
      <c r="U36" s="6"/>
      <c r="V36" s="6"/>
      <c r="W36" s="6"/>
      <c r="X36" s="6"/>
      <c r="Y36" s="6"/>
      <c r="Z36" s="6"/>
      <c r="AA36" s="6"/>
      <c r="AB36" s="6"/>
      <c r="AC36" s="9"/>
    </row>
    <row r="37" spans="3:29" x14ac:dyDescent="0.25">
      <c r="AC37" s="8"/>
    </row>
    <row r="38" spans="3:29" x14ac:dyDescent="0.25">
      <c r="AC38" s="8"/>
    </row>
    <row r="39" spans="3:29" x14ac:dyDescent="0.25">
      <c r="AC39" s="8"/>
    </row>
    <row r="40" spans="3:29" x14ac:dyDescent="0.25">
      <c r="AC40" s="8"/>
    </row>
    <row r="41" spans="3:29" x14ac:dyDescent="0.25">
      <c r="AC41" s="8"/>
    </row>
    <row r="42" spans="3:29" x14ac:dyDescent="0.25">
      <c r="AC42" s="8"/>
    </row>
    <row r="43" spans="3:29" x14ac:dyDescent="0.25">
      <c r="AC43" s="8"/>
    </row>
    <row r="44" spans="3:29" x14ac:dyDescent="0.25">
      <c r="AC44" s="8"/>
    </row>
    <row r="45" spans="3:29" x14ac:dyDescent="0.25">
      <c r="AC45" s="8"/>
    </row>
    <row r="46" spans="3:29" x14ac:dyDescent="0.25">
      <c r="C46" s="5"/>
      <c r="D46" s="5"/>
      <c r="AC46" s="8"/>
    </row>
    <row r="47" spans="3:29" x14ac:dyDescent="0.25">
      <c r="C47" s="5"/>
      <c r="D47" s="5"/>
      <c r="AC47" s="8"/>
    </row>
    <row r="48" spans="3:29" x14ac:dyDescent="0.25">
      <c r="C48" s="5"/>
      <c r="D48" s="5"/>
      <c r="AC48" s="8"/>
    </row>
    <row r="49" spans="3:29" x14ac:dyDescent="0.25">
      <c r="C49" s="5"/>
      <c r="D49" s="5"/>
      <c r="AC49" s="8"/>
    </row>
    <row r="50" spans="3:29" x14ac:dyDescent="0.25">
      <c r="C50" s="5"/>
      <c r="D50" s="5"/>
      <c r="AC50" s="8"/>
    </row>
    <row r="51" spans="3:29" x14ac:dyDescent="0.25">
      <c r="C51" s="5"/>
      <c r="D51" s="5"/>
      <c r="AC51" s="8"/>
    </row>
    <row r="52" spans="3:29" x14ac:dyDescent="0.25">
      <c r="C52" s="5"/>
      <c r="D52" s="5"/>
      <c r="AC52" s="8"/>
    </row>
    <row r="53" spans="3:29" x14ac:dyDescent="0.25">
      <c r="C53" s="5"/>
      <c r="D53" s="5"/>
      <c r="AC53" s="8"/>
    </row>
    <row r="54" spans="3:29" x14ac:dyDescent="0.25">
      <c r="C54" s="5"/>
      <c r="D54" s="5"/>
      <c r="AC54" s="8"/>
    </row>
    <row r="55" spans="3:29" x14ac:dyDescent="0.25">
      <c r="C55" s="5"/>
      <c r="D55" s="5"/>
      <c r="AC55" s="8"/>
    </row>
    <row r="56" spans="3:29" x14ac:dyDescent="0.25">
      <c r="C56" s="5"/>
      <c r="D56" s="5"/>
      <c r="AC56" s="8"/>
    </row>
    <row r="57" spans="3:29" x14ac:dyDescent="0.25">
      <c r="C57" s="5"/>
      <c r="D57" s="5"/>
      <c r="AC57" s="8"/>
    </row>
    <row r="58" spans="3:29" x14ac:dyDescent="0.25">
      <c r="C58" s="5"/>
      <c r="D58" s="5"/>
      <c r="AC58" s="8"/>
    </row>
    <row r="59" spans="3:29" x14ac:dyDescent="0.25">
      <c r="C59" s="5"/>
      <c r="D59" s="5"/>
      <c r="AC59" s="8"/>
    </row>
    <row r="60" spans="3:29" x14ac:dyDescent="0.25">
      <c r="C60" s="5"/>
      <c r="D60" s="5"/>
      <c r="AC60" s="8"/>
    </row>
    <row r="61" spans="3:29" x14ac:dyDescent="0.25">
      <c r="C61" s="5"/>
      <c r="D61" s="5"/>
      <c r="AC61" s="8"/>
    </row>
    <row r="62" spans="3:29" x14ac:dyDescent="0.25">
      <c r="C62" s="5"/>
      <c r="D62" s="5"/>
      <c r="AC62" s="8"/>
    </row>
    <row r="63" spans="3:29" x14ac:dyDescent="0.25">
      <c r="C63" s="5"/>
      <c r="D63" s="5"/>
      <c r="AC63" s="8"/>
    </row>
    <row r="64" spans="3:29" x14ac:dyDescent="0.25">
      <c r="C64" s="5"/>
      <c r="D64" s="5"/>
      <c r="AC64" s="8"/>
    </row>
    <row r="65" spans="3:29" x14ac:dyDescent="0.25">
      <c r="C65" s="5"/>
      <c r="D65" s="5"/>
      <c r="AC65" s="8"/>
    </row>
    <row r="66" spans="3:29" x14ac:dyDescent="0.25">
      <c r="C66" s="5"/>
      <c r="D66" s="5"/>
      <c r="AC66" s="8"/>
    </row>
    <row r="67" spans="3:29" x14ac:dyDescent="0.25">
      <c r="C67" s="5"/>
      <c r="D67" s="5"/>
      <c r="AC67" s="8"/>
    </row>
    <row r="68" spans="3:29" x14ac:dyDescent="0.25">
      <c r="C68" s="5"/>
      <c r="D68" s="5"/>
      <c r="AC68" s="8"/>
    </row>
    <row r="69" spans="3:29" x14ac:dyDescent="0.25">
      <c r="C69" s="5"/>
      <c r="D69" s="5"/>
      <c r="AC69" s="8"/>
    </row>
    <row r="70" spans="3:29" x14ac:dyDescent="0.25">
      <c r="C70" s="5"/>
      <c r="D70" s="5"/>
      <c r="AC70" s="8"/>
    </row>
    <row r="71" spans="3:29" x14ac:dyDescent="0.25">
      <c r="C71" s="5"/>
      <c r="D71" s="5"/>
      <c r="AC71" s="8"/>
    </row>
    <row r="72" spans="3:29" x14ac:dyDescent="0.25">
      <c r="C72" s="5"/>
      <c r="D72" s="5"/>
      <c r="AC72" s="8"/>
    </row>
    <row r="73" spans="3:29" x14ac:dyDescent="0.25">
      <c r="C73" s="5"/>
      <c r="D73" s="5"/>
      <c r="AC73" s="8"/>
    </row>
    <row r="74" spans="3:29" x14ac:dyDescent="0.25">
      <c r="C74" s="5"/>
      <c r="D74" s="5"/>
      <c r="AC74" s="8"/>
    </row>
    <row r="75" spans="3:29" x14ac:dyDescent="0.25">
      <c r="C75" s="5"/>
      <c r="D75" s="5"/>
      <c r="AC75" s="8"/>
    </row>
    <row r="76" spans="3:29" x14ac:dyDescent="0.25">
      <c r="C76" s="5"/>
      <c r="D76" s="5"/>
      <c r="AC76" s="8"/>
    </row>
    <row r="77" spans="3:29" x14ac:dyDescent="0.25">
      <c r="C77" s="5"/>
      <c r="D77" s="5"/>
      <c r="AC77" s="8"/>
    </row>
    <row r="78" spans="3:29" x14ac:dyDescent="0.25">
      <c r="C78" s="5"/>
      <c r="D78" s="5"/>
      <c r="AC78" s="8"/>
    </row>
    <row r="79" spans="3:29" x14ac:dyDescent="0.25">
      <c r="C79" s="5"/>
      <c r="D79" s="5"/>
      <c r="AC79" s="8"/>
    </row>
    <row r="80" spans="3:29" x14ac:dyDescent="0.25">
      <c r="C80" s="5"/>
      <c r="D80" s="5"/>
      <c r="AC80" s="8"/>
    </row>
    <row r="81" spans="3:29" x14ac:dyDescent="0.25">
      <c r="C81" s="5"/>
      <c r="D81" s="5"/>
      <c r="AC81" s="8"/>
    </row>
    <row r="82" spans="3:29" x14ac:dyDescent="0.25">
      <c r="C82" s="5"/>
      <c r="D82" s="5"/>
      <c r="AC82" s="8"/>
    </row>
    <row r="83" spans="3:29" x14ac:dyDescent="0.25">
      <c r="C83" s="5"/>
      <c r="D83" s="5"/>
      <c r="AC83" s="8"/>
    </row>
    <row r="84" spans="3:29" x14ac:dyDescent="0.25">
      <c r="C84" s="5"/>
      <c r="D84" s="5"/>
      <c r="AC84" s="8"/>
    </row>
    <row r="85" spans="3:29" x14ac:dyDescent="0.25">
      <c r="C85" s="5"/>
      <c r="D85" s="5"/>
      <c r="AC85" s="8"/>
    </row>
    <row r="86" spans="3:29" x14ac:dyDescent="0.25">
      <c r="C86" s="5"/>
      <c r="D86" s="5"/>
      <c r="AC86" s="8"/>
    </row>
    <row r="87" spans="3:29" x14ac:dyDescent="0.25">
      <c r="C87" s="5"/>
      <c r="D87" s="5"/>
      <c r="AC87" s="8"/>
    </row>
    <row r="88" spans="3:29" x14ac:dyDescent="0.25">
      <c r="C88" s="5"/>
      <c r="D88" s="5"/>
      <c r="AC88" s="8"/>
    </row>
    <row r="89" spans="3:29" x14ac:dyDescent="0.25">
      <c r="C89" s="5"/>
      <c r="D89" s="5"/>
      <c r="AC89" s="8"/>
    </row>
    <row r="90" spans="3:29" x14ac:dyDescent="0.25">
      <c r="C90" s="5"/>
      <c r="D90" s="5"/>
      <c r="AC90" s="8"/>
    </row>
    <row r="91" spans="3:29" x14ac:dyDescent="0.25">
      <c r="C91" s="5"/>
      <c r="D91" s="5"/>
      <c r="AC91" s="8"/>
    </row>
    <row r="92" spans="3:29" x14ac:dyDescent="0.25">
      <c r="C92" s="5"/>
      <c r="D92" s="5"/>
      <c r="AC92" s="8"/>
    </row>
    <row r="93" spans="3:29" x14ac:dyDescent="0.25">
      <c r="C93" s="5"/>
      <c r="D93" s="5"/>
      <c r="AC93" s="8"/>
    </row>
    <row r="94" spans="3:29" x14ac:dyDescent="0.25">
      <c r="C94" s="5"/>
      <c r="D94" s="5"/>
      <c r="AC94" s="8"/>
    </row>
    <row r="95" spans="3:29" x14ac:dyDescent="0.25">
      <c r="C95" s="5"/>
      <c r="D95" s="5"/>
      <c r="AC95" s="8"/>
    </row>
    <row r="96" spans="3:29" x14ac:dyDescent="0.25">
      <c r="C96" s="5"/>
      <c r="D96" s="5"/>
      <c r="AC96" s="8"/>
    </row>
    <row r="97" spans="3:29" x14ac:dyDescent="0.25">
      <c r="C97" s="5"/>
      <c r="D97" s="5"/>
      <c r="AC97" s="8"/>
    </row>
    <row r="98" spans="3:29" x14ac:dyDescent="0.25">
      <c r="C98" s="5"/>
      <c r="D98" s="5"/>
      <c r="AC98" s="8"/>
    </row>
    <row r="99" spans="3:29" x14ac:dyDescent="0.25">
      <c r="C99" s="5"/>
      <c r="D99" s="5"/>
      <c r="AC99" s="8"/>
    </row>
    <row r="100" spans="3:29" x14ac:dyDescent="0.25">
      <c r="C100" s="5"/>
      <c r="D100" s="5"/>
      <c r="AC100" s="8"/>
    </row>
    <row r="101" spans="3:29" x14ac:dyDescent="0.25">
      <c r="C101" s="5"/>
      <c r="D101" s="5"/>
      <c r="AC101" s="8"/>
    </row>
    <row r="102" spans="3:29" x14ac:dyDescent="0.25">
      <c r="C102" s="5"/>
      <c r="D102" s="5"/>
      <c r="AC102" s="8"/>
    </row>
    <row r="103" spans="3:29" x14ac:dyDescent="0.25">
      <c r="C103" s="5"/>
      <c r="D103" s="5"/>
      <c r="AC103" s="8"/>
    </row>
    <row r="104" spans="3:29" x14ac:dyDescent="0.25">
      <c r="C104" s="5"/>
      <c r="D104" s="5"/>
      <c r="AC104" s="8"/>
    </row>
    <row r="105" spans="3:29" x14ac:dyDescent="0.25">
      <c r="C105" s="5"/>
      <c r="D105" s="5"/>
      <c r="AC105" s="8"/>
    </row>
    <row r="106" spans="3:29" x14ac:dyDescent="0.25">
      <c r="C106" s="5"/>
      <c r="D106" s="5"/>
      <c r="AC106" s="8"/>
    </row>
    <row r="107" spans="3:29" x14ac:dyDescent="0.25">
      <c r="C107" s="5"/>
      <c r="D107" s="5"/>
      <c r="AC107" s="8"/>
    </row>
    <row r="108" spans="3:29" x14ac:dyDescent="0.25">
      <c r="C108" s="5"/>
      <c r="D108" s="5"/>
      <c r="AC108" s="8"/>
    </row>
    <row r="109" spans="3:29" x14ac:dyDescent="0.25">
      <c r="C109" s="5"/>
      <c r="D109" s="5"/>
      <c r="AC109" s="8"/>
    </row>
    <row r="110" spans="3:29" x14ac:dyDescent="0.25">
      <c r="C110" s="5"/>
      <c r="D110" s="5"/>
      <c r="AC110" s="8"/>
    </row>
    <row r="111" spans="3:29" x14ac:dyDescent="0.25">
      <c r="C111" s="5"/>
      <c r="D111" s="5"/>
      <c r="AC111" s="8"/>
    </row>
    <row r="112" spans="3:29" x14ac:dyDescent="0.25">
      <c r="C112" s="5"/>
      <c r="D112" s="5"/>
      <c r="AC112" s="8"/>
    </row>
    <row r="113" spans="3:29" x14ac:dyDescent="0.25">
      <c r="C113" s="5"/>
      <c r="D113" s="5"/>
      <c r="AC113" s="8"/>
    </row>
    <row r="114" spans="3:29" x14ac:dyDescent="0.25">
      <c r="C114" s="5"/>
      <c r="D114" s="5"/>
      <c r="AC114" s="8"/>
    </row>
    <row r="115" spans="3:29" x14ac:dyDescent="0.25">
      <c r="C115" s="5"/>
      <c r="D115" s="5"/>
      <c r="AC115" s="8"/>
    </row>
    <row r="116" spans="3:29" x14ac:dyDescent="0.25">
      <c r="C116" s="5"/>
      <c r="D116" s="5"/>
      <c r="AC116" s="8"/>
    </row>
    <row r="117" spans="3:29" x14ac:dyDescent="0.25">
      <c r="C117" s="5"/>
      <c r="D117" s="5"/>
      <c r="AC117" s="8"/>
    </row>
    <row r="118" spans="3:29" x14ac:dyDescent="0.25">
      <c r="C118" s="5"/>
      <c r="D118" s="5"/>
      <c r="AC118" s="8"/>
    </row>
    <row r="119" spans="3:29" x14ac:dyDescent="0.25">
      <c r="C119" s="5"/>
      <c r="D119" s="5"/>
      <c r="AC119" s="8"/>
    </row>
    <row r="120" spans="3:29" x14ac:dyDescent="0.25">
      <c r="C120" s="5"/>
      <c r="D120" s="5"/>
      <c r="AC120" s="8"/>
    </row>
    <row r="121" spans="3:29" x14ac:dyDescent="0.25">
      <c r="C121" s="5"/>
      <c r="D121" s="5"/>
      <c r="AC121" s="8"/>
    </row>
    <row r="122" spans="3:29" x14ac:dyDescent="0.25">
      <c r="C122" s="5"/>
      <c r="D122" s="5"/>
      <c r="AC122" s="8"/>
    </row>
    <row r="123" spans="3:29" x14ac:dyDescent="0.25">
      <c r="C123" s="5"/>
      <c r="D123" s="5"/>
      <c r="AC123" s="8"/>
    </row>
    <row r="124" spans="3:29" x14ac:dyDescent="0.25">
      <c r="C124" s="5"/>
      <c r="D124" s="5"/>
      <c r="AC124" s="8"/>
    </row>
    <row r="125" spans="3:29" x14ac:dyDescent="0.25">
      <c r="C125" s="5"/>
      <c r="D125" s="5"/>
      <c r="AC125" s="8"/>
    </row>
    <row r="126" spans="3:29" x14ac:dyDescent="0.25">
      <c r="C126" s="5"/>
      <c r="D126" s="5"/>
      <c r="AC126" s="8"/>
    </row>
    <row r="127" spans="3:29" x14ac:dyDescent="0.25">
      <c r="C127" s="5"/>
      <c r="D127" s="5"/>
      <c r="AC127" s="8"/>
    </row>
    <row r="128" spans="3:29" x14ac:dyDescent="0.25">
      <c r="C128" s="5"/>
      <c r="D128" s="5"/>
      <c r="AC128" s="8"/>
    </row>
    <row r="129" spans="3:29" x14ac:dyDescent="0.25">
      <c r="C129" s="5"/>
      <c r="D129" s="5"/>
      <c r="AC129" s="8"/>
    </row>
    <row r="130" spans="3:29" x14ac:dyDescent="0.25">
      <c r="C130" s="5"/>
      <c r="D130" s="5"/>
      <c r="AC130" s="8"/>
    </row>
    <row r="131" spans="3:29" x14ac:dyDescent="0.25">
      <c r="C131" s="5"/>
      <c r="D131" s="5"/>
      <c r="AC131" s="8"/>
    </row>
    <row r="132" spans="3:29" x14ac:dyDescent="0.25">
      <c r="C132" s="5"/>
      <c r="D132" s="5"/>
      <c r="AC132" s="8"/>
    </row>
    <row r="133" spans="3:29" x14ac:dyDescent="0.25">
      <c r="C133" s="5"/>
      <c r="D133" s="5"/>
      <c r="AC133" s="8"/>
    </row>
    <row r="134" spans="3:29" x14ac:dyDescent="0.25">
      <c r="C134" s="5"/>
      <c r="D134" s="5"/>
      <c r="AC134" s="8"/>
    </row>
    <row r="135" spans="3:29" x14ac:dyDescent="0.25">
      <c r="C135" s="5"/>
      <c r="D135" s="5"/>
      <c r="AC135" s="8"/>
    </row>
    <row r="136" spans="3:29" x14ac:dyDescent="0.25">
      <c r="C136" s="10"/>
      <c r="D136" s="10"/>
      <c r="E136" s="7"/>
      <c r="F136" s="7"/>
      <c r="G136" s="7"/>
      <c r="H136" s="7"/>
      <c r="I136" s="7"/>
      <c r="J136" s="7"/>
      <c r="K136" s="7"/>
      <c r="L136" s="7"/>
      <c r="M136" s="7"/>
      <c r="N136" s="7"/>
      <c r="O136" s="7"/>
      <c r="P136" s="7"/>
      <c r="Q136" s="7"/>
      <c r="R136" s="7"/>
      <c r="S136" s="7"/>
      <c r="T136" s="7"/>
      <c r="U136" s="7"/>
      <c r="V136" s="7"/>
      <c r="W136" s="7"/>
      <c r="X136" s="7"/>
      <c r="Y136" s="7"/>
      <c r="Z136" s="7"/>
      <c r="AA136" s="7"/>
      <c r="AB136" s="7"/>
      <c r="AC136" s="11"/>
    </row>
  </sheetData>
  <sheetProtection selectLockedCells="1" selectUnlockedCells="1"/>
  <mergeCells count="1">
    <mergeCell ref="A2:C2"/>
  </mergeCells>
  <phoneticPr fontId="4" type="noConversion"/>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0225443d-76f0-4d33-b010-b7398fa8165d">
      <Terms xmlns="http://schemas.microsoft.com/office/infopath/2007/PartnerControls"/>
    </lcf76f155ced4ddcb4097134ff3c332f>
    <TaxCatchAll xmlns="6b3de2de-4ca2-4ad1-8c6e-008e70a43a87" xsi:nil="true"/>
  </documentManagement>
</p:properties>
</file>

<file path=customXml/item6.xml><?xml version="1.0" encoding="utf-8"?>
<ct:contentTypeSchema xmlns:ct="http://schemas.microsoft.com/office/2006/metadata/contentType" xmlns:ma="http://schemas.microsoft.com/office/2006/metadata/properties/metaAttributes" ct:_="" ma:_="" ma:contentTypeName="Document" ma:contentTypeID="0x010100CE3EB4B607C9824E82320D8BCD40CAAE" ma:contentTypeVersion="18" ma:contentTypeDescription="Crée un document." ma:contentTypeScope="" ma:versionID="27bb3742408b7043f227e248dbf0a780">
  <xsd:schema xmlns:xsd="http://www.w3.org/2001/XMLSchema" xmlns:xs="http://www.w3.org/2001/XMLSchema" xmlns:p="http://schemas.microsoft.com/office/2006/metadata/properties" xmlns:ns2="0225443d-76f0-4d33-b010-b7398fa8165d" xmlns:ns3="6b3de2de-4ca2-4ad1-8c6e-008e70a43a87" targetNamespace="http://schemas.microsoft.com/office/2006/metadata/properties" ma:root="true" ma:fieldsID="e4bef22b89c2b23ad8d16e94d13416e5" ns2:_="" ns3:_="">
    <xsd:import namespace="0225443d-76f0-4d33-b010-b7398fa8165d"/>
    <xsd:import namespace="6b3de2de-4ca2-4ad1-8c6e-008e70a43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5443d-76f0-4d33-b010-b7398fa81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aa6a15b7-5206-4000-972f-8382a08670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3de2de-4ca2-4ad1-8c6e-008e70a43a87"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acf52e35-a597-44e4-9350-432286d65e17}" ma:internalName="TaxCatchAll" ma:showField="CatchAllData" ma:web="6b3de2de-4ca2-4ad1-8c6e-008e70a43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Props1.xml><?xml version="1.0" encoding="utf-8"?>
<ds:datastoreItem xmlns:ds="http://schemas.openxmlformats.org/officeDocument/2006/customXml" ds:itemID="{9C970A06-3874-4932-99DA-1CF05C6ACE3E}">
  <ds:schemaRefs>
    <ds:schemaRef ds:uri="http://schemas.microsoft.com/DataMashup"/>
  </ds:schemaRefs>
</ds:datastoreItem>
</file>

<file path=customXml/itemProps2.xml><?xml version="1.0" encoding="utf-8"?>
<ds:datastoreItem xmlns:ds="http://schemas.openxmlformats.org/officeDocument/2006/customXml" ds:itemID="{671A613E-AFFE-4A91-B196-604D1944FE06}">
  <ds:schemaRefs>
    <ds:schemaRef ds:uri="http://gemini/pivotcustomization/TableXML_Table6"/>
  </ds:schemaRefs>
</ds:datastoreItem>
</file>

<file path=customXml/itemProps3.xml><?xml version="1.0" encoding="utf-8"?>
<ds:datastoreItem xmlns:ds="http://schemas.openxmlformats.org/officeDocument/2006/customXml" ds:itemID="{277E42F3-3C74-4535-8203-47A3AFEACFB1}">
  <ds:schemaRefs>
    <ds:schemaRef ds:uri="http://gemini/pivotcustomization/TableXML_working_table"/>
  </ds:schemaRefs>
</ds:datastoreItem>
</file>

<file path=customXml/itemProps4.xml><?xml version="1.0" encoding="utf-8"?>
<ds:datastoreItem xmlns:ds="http://schemas.openxmlformats.org/officeDocument/2006/customXml" ds:itemID="{700E1F33-9775-4FBC-A8B8-27C23D4CD193}">
  <ds:schemaRefs>
    <ds:schemaRef ds:uri="http://gemini/pivotcustomization/FormulaBarState"/>
  </ds:schemaRefs>
</ds:datastoreItem>
</file>

<file path=customXml/itemProps5.xml><?xml version="1.0" encoding="utf-8"?>
<ds:datastoreItem xmlns:ds="http://schemas.openxmlformats.org/officeDocument/2006/customXml" ds:itemID="{873074FA-4964-4FAB-9C39-DB9250B70E3C}">
  <ds:schemaRef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a4ccce07-d9df-40be-ba22-67d5c80ef237"/>
    <ds:schemaRef ds:uri="http://schemas.microsoft.com/office/infopath/2007/PartnerControls"/>
    <ds:schemaRef ds:uri="3e8c1917-30ce-4059-b20f-d25788032734"/>
    <ds:schemaRef ds:uri="http://schemas.microsoft.com/office/2006/metadata/properties"/>
    <ds:schemaRef ds:uri="http://purl.org/dc/terms/"/>
    <ds:schemaRef ds:uri="0225443d-76f0-4d33-b010-b7398fa8165d"/>
    <ds:schemaRef ds:uri="6b3de2de-4ca2-4ad1-8c6e-008e70a43a87"/>
  </ds:schemaRefs>
</ds:datastoreItem>
</file>

<file path=customXml/itemProps6.xml><?xml version="1.0" encoding="utf-8"?>
<ds:datastoreItem xmlns:ds="http://schemas.openxmlformats.org/officeDocument/2006/customXml" ds:itemID="{35DAF247-7A3E-40AC-A0E0-8E8CEA1CBC04}"/>
</file>

<file path=customXml/itemProps7.xml><?xml version="1.0" encoding="utf-8"?>
<ds:datastoreItem xmlns:ds="http://schemas.openxmlformats.org/officeDocument/2006/customXml" ds:itemID="{45B3C29A-1390-42E6-A6A0-7E82E1DC8E50}">
  <ds:schemaRefs>
    <ds:schemaRef ds:uri="http://schemas.microsoft.com/sharepoint/v3/contenttype/forms"/>
  </ds:schemaRefs>
</ds:datastoreItem>
</file>

<file path=customXml/itemProps8.xml><?xml version="1.0" encoding="utf-8"?>
<ds:datastoreItem xmlns:ds="http://schemas.openxmlformats.org/officeDocument/2006/customXml" ds:itemID="{9111E476-233C-4C65-87E3-15334F1D2C6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Information</vt:lpstr>
      <vt:lpstr>─&gt; Tableau de données</vt:lpstr>
      <vt:lpstr>─&gt; Selection vulner. facteurs</vt:lpstr>
      <vt:lpstr>R.1| Calcul index vulner.</vt:lpstr>
      <vt:lpstr>R.2| Tableaux récapitulatifs</vt:lpstr>
      <vt:lpstr>R.3| Aperçu données manquantes</vt:lpstr>
      <vt:lpstr>R.4|  Export tableau PAMI</vt:lpstr>
      <vt:lpstr>Names - Do not touch</vt:lpstr>
      <vt:lpstr>_0_uniq_id</vt:lpstr>
      <vt:lpstr>_1_adi_1</vt:lpstr>
      <vt:lpstr>_2_adi_2</vt:lpstr>
      <vt:lpstr>_3_pop</vt:lpstr>
      <vt:lpstr>_q01</vt:lpstr>
      <vt:lpstr>_q02</vt:lpstr>
      <vt:lpstr>_q03</vt:lpstr>
      <vt:lpstr>_q04</vt:lpstr>
      <vt:lpstr>_q05</vt:lpstr>
      <vt:lpstr>_q06</vt:lpstr>
      <vt:lpstr>_q07</vt:lpstr>
      <vt:lpstr>_q08</vt:lpstr>
      <vt:lpstr>_q09</vt:lpstr>
      <vt:lpstr>_q10</vt:lpstr>
      <vt:lpstr>_q11</vt:lpstr>
      <vt:lpstr>_q12</vt:lpstr>
      <vt:lpstr>_q13</vt:lpstr>
      <vt:lpstr>_q14</vt:lpstr>
      <vt:lpstr>_q15</vt:lpstr>
      <vt:lpstr>_q16</vt:lpstr>
      <vt:lpstr>_q17</vt:lpstr>
      <vt:lpstr>_q18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sudreb@who.int</dc:creator>
  <cp:keywords/>
  <dc:description/>
  <cp:lastModifiedBy>Jason SOFFE</cp:lastModifiedBy>
  <cp:revision/>
  <dcterms:created xsi:type="dcterms:W3CDTF">2022-07-29T19:50:00Z</dcterms:created>
  <dcterms:modified xsi:type="dcterms:W3CDTF">2025-01-20T10:24:17Z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0x010100CE3EB4B607C9824E82320D8BCD40CAAE</vt:lpwstr>
  </property>
  <property fmtid="{D5CDD505-2E9C-101B-9397-08002B2CF9AE}" pid="3" name="MediaServiceImageTags">
    <vt:lpwstr/>
  </property>
</Properties>
</file>